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kapur/Documents/Work/CFO/"/>
    </mc:Choice>
  </mc:AlternateContent>
  <xr:revisionPtr revIDLastSave="0" documentId="8_{A2B46170-28E2-984C-AADC-7B9998C3BEDF}" xr6:coauthVersionLast="36" xr6:coauthVersionMax="36" xr10:uidLastSave="{00000000-0000-0000-0000-000000000000}"/>
  <bookViews>
    <workbookView xWindow="0" yWindow="460" windowWidth="33600" windowHeight="20460" tabRatio="873" xr2:uid="{00000000-000D-0000-FFFF-FFFF00000000}"/>
  </bookViews>
  <sheets>
    <sheet name="Main" sheetId="7" r:id="rId1"/>
    <sheet name="Summary" sheetId="113" r:id="rId2"/>
    <sheet name="IS" sheetId="109" r:id="rId3"/>
    <sheet name="BS" sheetId="122" r:id="rId4"/>
    <sheet name="CF" sheetId="123" r:id="rId5"/>
    <sheet name="Sales" sheetId="116" r:id="rId6"/>
    <sheet name="Staff Expense" sheetId="119" r:id="rId7"/>
    <sheet name="Corp Employees" sheetId="94" r:id="rId8"/>
  </sheets>
  <definedNames>
    <definedName name="_xlnm._FilterDatabase" localSheetId="3" hidden="1">BS!$A$3:$AR$3</definedName>
    <definedName name="_xlnm._FilterDatabase" localSheetId="4" hidden="1">CF!$A$3:$AQ$3</definedName>
    <definedName name="_xlnm._FilterDatabase" localSheetId="7" hidden="1">'Corp Employees'!$A$1:$I$5</definedName>
    <definedName name="_xlnm._FilterDatabase" localSheetId="2" hidden="1">IS!$A$3:$AQ$4</definedName>
    <definedName name="_xlnm._FilterDatabase" localSheetId="5" hidden="1">Sales!$A$3:$AQ$5</definedName>
    <definedName name="_xlnm._FilterDatabase" localSheetId="6" hidden="1">'Staff Expense'!$A$3:$AQ$4</definedName>
    <definedName name="_xlnm._FilterDatabase" localSheetId="1" hidden="1">Summary!$A$3:$AQ$26</definedName>
    <definedName name="BS">BS!$1:$1048576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40798.537025463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IS!$1:$1048576</definedName>
    <definedName name="SAVED">#REF!</definedName>
    <definedName name="SUMMARY">Summary!$1:$1048576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7" l="1"/>
  <c r="B60" i="7" s="1"/>
  <c r="B61" i="7" s="1"/>
  <c r="B62" i="7" s="1"/>
  <c r="B52" i="7"/>
  <c r="B53" i="7" s="1"/>
  <c r="B54" i="7" s="1"/>
  <c r="B55" i="7" s="1"/>
  <c r="B6" i="7"/>
  <c r="C6" i="7" s="1"/>
  <c r="D6" i="7" s="1"/>
  <c r="E6" i="7" s="1"/>
  <c r="A1" i="123"/>
  <c r="A1" i="122"/>
  <c r="A1" i="109"/>
  <c r="A1" i="113"/>
  <c r="G3" i="113"/>
  <c r="H3" i="113" s="1"/>
  <c r="H2" i="113" s="1"/>
  <c r="C3" i="113"/>
  <c r="D3" i="113" s="1"/>
  <c r="E3" i="113" s="1"/>
  <c r="F3" i="113" s="1"/>
  <c r="BB16" i="123"/>
  <c r="BA16" i="123"/>
  <c r="AZ16" i="123"/>
  <c r="AY16" i="123"/>
  <c r="AX16" i="123"/>
  <c r="AW16" i="123"/>
  <c r="AV16" i="123"/>
  <c r="AV17" i="123" s="1"/>
  <c r="AU16" i="123"/>
  <c r="AU17" i="123" s="1"/>
  <c r="AT16" i="123"/>
  <c r="AT17" i="123" s="1"/>
  <c r="AS16" i="123"/>
  <c r="AR16" i="123"/>
  <c r="AQ16" i="123"/>
  <c r="AP16" i="123"/>
  <c r="AO16" i="123"/>
  <c r="AN16" i="123"/>
  <c r="AM16" i="123"/>
  <c r="AL16" i="123"/>
  <c r="AK16" i="123"/>
  <c r="AJ16" i="123"/>
  <c r="AJ17" i="123" s="1"/>
  <c r="AI16" i="123"/>
  <c r="AH16" i="123"/>
  <c r="AG16" i="123"/>
  <c r="AF16" i="123"/>
  <c r="AF17" i="123" s="1"/>
  <c r="AE16" i="123"/>
  <c r="AD16" i="123"/>
  <c r="AD17" i="123" s="1"/>
  <c r="AC16" i="123"/>
  <c r="AB16" i="123"/>
  <c r="AA16" i="123"/>
  <c r="Z16" i="123"/>
  <c r="Y16" i="123"/>
  <c r="X16" i="123"/>
  <c r="W16" i="123"/>
  <c r="V16" i="123"/>
  <c r="U16" i="123"/>
  <c r="T16" i="123"/>
  <c r="T17" i="123" s="1"/>
  <c r="S16" i="123"/>
  <c r="R16" i="123"/>
  <c r="Q16" i="123"/>
  <c r="P16" i="123"/>
  <c r="P17" i="123" s="1"/>
  <c r="O16" i="123"/>
  <c r="N16" i="123"/>
  <c r="N17" i="123" s="1"/>
  <c r="M16" i="123"/>
  <c r="L16" i="123"/>
  <c r="K16" i="123"/>
  <c r="J16" i="123"/>
  <c r="I16" i="123"/>
  <c r="H16" i="123"/>
  <c r="BB15" i="123"/>
  <c r="BB17" i="123" s="1"/>
  <c r="BA15" i="123"/>
  <c r="BA17" i="123" s="1"/>
  <c r="AZ15" i="123"/>
  <c r="AY15" i="123"/>
  <c r="AX15" i="123"/>
  <c r="AW15" i="123"/>
  <c r="AV15" i="123"/>
  <c r="AU15" i="123"/>
  <c r="AT15" i="123"/>
  <c r="AS15" i="123"/>
  <c r="AS17" i="123" s="1"/>
  <c r="AR15" i="123"/>
  <c r="AQ15" i="123"/>
  <c r="AP15" i="123"/>
  <c r="AP17" i="123" s="1"/>
  <c r="AO15" i="123"/>
  <c r="AO17" i="123" s="1"/>
  <c r="AN15" i="123"/>
  <c r="AM15" i="123"/>
  <c r="AL15" i="123"/>
  <c r="AL17" i="123" s="1"/>
  <c r="AK15" i="123"/>
  <c r="AK17" i="123" s="1"/>
  <c r="AJ15" i="123"/>
  <c r="AI15" i="123"/>
  <c r="AH15" i="123"/>
  <c r="AG15" i="123"/>
  <c r="AF15" i="123"/>
  <c r="AE15" i="123"/>
  <c r="AD15" i="123"/>
  <c r="AC15" i="123"/>
  <c r="AC17" i="123" s="1"/>
  <c r="AB15" i="123"/>
  <c r="AA15" i="123"/>
  <c r="Z15" i="123"/>
  <c r="Z17" i="123" s="1"/>
  <c r="Y15" i="123"/>
  <c r="Y17" i="123" s="1"/>
  <c r="X15" i="123"/>
  <c r="W15" i="123"/>
  <c r="V15" i="123"/>
  <c r="V17" i="123" s="1"/>
  <c r="U15" i="123"/>
  <c r="U17" i="123" s="1"/>
  <c r="T15" i="123"/>
  <c r="S15" i="123"/>
  <c r="R15" i="123"/>
  <c r="Q15" i="123"/>
  <c r="P15" i="123"/>
  <c r="O15" i="123"/>
  <c r="N15" i="123"/>
  <c r="M15" i="123"/>
  <c r="M17" i="123" s="1"/>
  <c r="L15" i="123"/>
  <c r="K15" i="123"/>
  <c r="J15" i="123"/>
  <c r="J17" i="123" s="1"/>
  <c r="I15" i="123"/>
  <c r="I17" i="123" s="1"/>
  <c r="H15" i="123"/>
  <c r="BB11" i="123"/>
  <c r="BB12" i="123" s="1"/>
  <c r="BA11" i="123"/>
  <c r="BA12" i="123" s="1"/>
  <c r="AZ11" i="123"/>
  <c r="AZ12" i="123" s="1"/>
  <c r="AY11" i="123"/>
  <c r="AY12" i="123" s="1"/>
  <c r="AX11" i="123"/>
  <c r="AX12" i="123" s="1"/>
  <c r="AW11" i="123"/>
  <c r="AW12" i="123" s="1"/>
  <c r="AV11" i="123"/>
  <c r="AV12" i="123" s="1"/>
  <c r="AU11" i="123"/>
  <c r="AU12" i="123" s="1"/>
  <c r="AT11" i="123"/>
  <c r="AT12" i="123" s="1"/>
  <c r="AS11" i="123"/>
  <c r="AS12" i="123" s="1"/>
  <c r="AR11" i="123"/>
  <c r="AR12" i="123" s="1"/>
  <c r="AQ11" i="123"/>
  <c r="AQ12" i="123" s="1"/>
  <c r="AP11" i="123"/>
  <c r="AP12" i="123" s="1"/>
  <c r="AO11" i="123"/>
  <c r="AO12" i="123" s="1"/>
  <c r="AN11" i="123"/>
  <c r="AN12" i="123" s="1"/>
  <c r="AM11" i="123"/>
  <c r="AM12" i="123" s="1"/>
  <c r="AL11" i="123"/>
  <c r="AL12" i="123" s="1"/>
  <c r="AK11" i="123"/>
  <c r="AK12" i="123" s="1"/>
  <c r="AJ11" i="123"/>
  <c r="AJ12" i="123" s="1"/>
  <c r="AI11" i="123"/>
  <c r="AI12" i="123" s="1"/>
  <c r="AH11" i="123"/>
  <c r="AH12" i="123" s="1"/>
  <c r="AG11" i="123"/>
  <c r="AG12" i="123" s="1"/>
  <c r="AF11" i="123"/>
  <c r="AF12" i="123" s="1"/>
  <c r="AE11" i="123"/>
  <c r="AE12" i="123" s="1"/>
  <c r="AD11" i="123"/>
  <c r="AD12" i="123" s="1"/>
  <c r="AC11" i="123"/>
  <c r="AC12" i="123" s="1"/>
  <c r="AB11" i="123"/>
  <c r="AB12" i="123" s="1"/>
  <c r="AA11" i="123"/>
  <c r="AA12" i="123" s="1"/>
  <c r="Z11" i="123"/>
  <c r="Z12" i="123" s="1"/>
  <c r="Y11" i="123"/>
  <c r="Y12" i="123" s="1"/>
  <c r="X11" i="123"/>
  <c r="X12" i="123" s="1"/>
  <c r="W11" i="123"/>
  <c r="W12" i="123" s="1"/>
  <c r="V11" i="123"/>
  <c r="V12" i="123" s="1"/>
  <c r="U11" i="123"/>
  <c r="U12" i="123" s="1"/>
  <c r="T11" i="123"/>
  <c r="T12" i="123" s="1"/>
  <c r="S11" i="123"/>
  <c r="S12" i="123" s="1"/>
  <c r="R11" i="123"/>
  <c r="R12" i="123" s="1"/>
  <c r="Q11" i="123"/>
  <c r="Q12" i="123" s="1"/>
  <c r="P11" i="123"/>
  <c r="P12" i="123" s="1"/>
  <c r="O11" i="123"/>
  <c r="O12" i="123" s="1"/>
  <c r="N11" i="123"/>
  <c r="N12" i="123" s="1"/>
  <c r="M11" i="123"/>
  <c r="M12" i="123" s="1"/>
  <c r="L11" i="123"/>
  <c r="L12" i="123" s="1"/>
  <c r="K11" i="123"/>
  <c r="K12" i="123" s="1"/>
  <c r="J11" i="123"/>
  <c r="J12" i="123" s="1"/>
  <c r="I11" i="123"/>
  <c r="I12" i="123" s="1"/>
  <c r="H11" i="123"/>
  <c r="H12" i="123" s="1"/>
  <c r="G16" i="123"/>
  <c r="G15" i="123"/>
  <c r="G11" i="123"/>
  <c r="G12" i="123" s="1"/>
  <c r="BB42" i="109"/>
  <c r="BA42" i="109"/>
  <c r="AZ42" i="109"/>
  <c r="AY42" i="109"/>
  <c r="AX42" i="109"/>
  <c r="AW42" i="109"/>
  <c r="AV42" i="109"/>
  <c r="AU42" i="109"/>
  <c r="AT42" i="109"/>
  <c r="AS42" i="109"/>
  <c r="AR42" i="109"/>
  <c r="AQ42" i="109"/>
  <c r="AP42" i="109"/>
  <c r="AO42" i="109"/>
  <c r="AN42" i="109"/>
  <c r="AM42" i="109"/>
  <c r="AL42" i="109"/>
  <c r="AK42" i="109"/>
  <c r="AJ42" i="109"/>
  <c r="AI42" i="109"/>
  <c r="AH42" i="109"/>
  <c r="AG42" i="109"/>
  <c r="AF42" i="109"/>
  <c r="AE42" i="109"/>
  <c r="AD42" i="109"/>
  <c r="AC42" i="109"/>
  <c r="AB42" i="109"/>
  <c r="AA42" i="109"/>
  <c r="Z42" i="109"/>
  <c r="Y42" i="109"/>
  <c r="X42" i="109"/>
  <c r="W42" i="109"/>
  <c r="V42" i="109"/>
  <c r="U42" i="109"/>
  <c r="T42" i="109"/>
  <c r="S42" i="109"/>
  <c r="R42" i="109"/>
  <c r="Q42" i="109"/>
  <c r="P42" i="109"/>
  <c r="O42" i="109"/>
  <c r="N42" i="109"/>
  <c r="M42" i="109"/>
  <c r="L42" i="109"/>
  <c r="K42" i="109"/>
  <c r="J42" i="109"/>
  <c r="I42" i="109"/>
  <c r="H42" i="109"/>
  <c r="G42" i="109"/>
  <c r="G16" i="122"/>
  <c r="G22" i="122" s="1"/>
  <c r="G21" i="122"/>
  <c r="G10" i="122"/>
  <c r="I3" i="94"/>
  <c r="I4" i="94"/>
  <c r="I5" i="94"/>
  <c r="I6" i="94"/>
  <c r="I7" i="94"/>
  <c r="I8" i="94"/>
  <c r="I9" i="94"/>
  <c r="I10" i="94"/>
  <c r="I11" i="94"/>
  <c r="I12" i="94"/>
  <c r="I13" i="94"/>
  <c r="I14" i="94"/>
  <c r="I15" i="94"/>
  <c r="I16" i="94"/>
  <c r="I17" i="94"/>
  <c r="I18" i="94"/>
  <c r="I19" i="94"/>
  <c r="I20" i="94"/>
  <c r="I21" i="94"/>
  <c r="I22" i="94"/>
  <c r="I23" i="94"/>
  <c r="I24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102" i="94"/>
  <c r="I103" i="94"/>
  <c r="I104" i="94"/>
  <c r="I105" i="94"/>
  <c r="I106" i="94"/>
  <c r="I107" i="94"/>
  <c r="I108" i="94"/>
  <c r="I109" i="94"/>
  <c r="I110" i="94"/>
  <c r="I111" i="94"/>
  <c r="I112" i="94"/>
  <c r="I113" i="94"/>
  <c r="I114" i="94"/>
  <c r="I115" i="94"/>
  <c r="I116" i="94"/>
  <c r="I117" i="94"/>
  <c r="I118" i="94"/>
  <c r="I119" i="94"/>
  <c r="I120" i="94"/>
  <c r="I121" i="94"/>
  <c r="I122" i="94"/>
  <c r="I123" i="94"/>
  <c r="I124" i="94"/>
  <c r="I125" i="94"/>
  <c r="I126" i="94"/>
  <c r="I127" i="94"/>
  <c r="I128" i="94"/>
  <c r="I129" i="94"/>
  <c r="I130" i="94"/>
  <c r="I131" i="94"/>
  <c r="I132" i="94"/>
  <c r="I133" i="94"/>
  <c r="I134" i="94"/>
  <c r="I135" i="94"/>
  <c r="I136" i="94"/>
  <c r="I137" i="94"/>
  <c r="I138" i="94"/>
  <c r="I139" i="94"/>
  <c r="I140" i="94"/>
  <c r="I141" i="94"/>
  <c r="I142" i="94"/>
  <c r="I143" i="94"/>
  <c r="I144" i="94"/>
  <c r="I145" i="94"/>
  <c r="I146" i="94"/>
  <c r="I147" i="94"/>
  <c r="I148" i="94"/>
  <c r="I149" i="94"/>
  <c r="I150" i="94"/>
  <c r="I151" i="94"/>
  <c r="I152" i="94"/>
  <c r="I153" i="94"/>
  <c r="I154" i="94"/>
  <c r="I155" i="94"/>
  <c r="I156" i="94"/>
  <c r="I157" i="94"/>
  <c r="I158" i="94"/>
  <c r="I159" i="94"/>
  <c r="I160" i="94"/>
  <c r="I161" i="94"/>
  <c r="I162" i="94"/>
  <c r="I163" i="94"/>
  <c r="I164" i="94"/>
  <c r="I165" i="94"/>
  <c r="I166" i="94"/>
  <c r="I167" i="94"/>
  <c r="I168" i="94"/>
  <c r="I169" i="94"/>
  <c r="I170" i="94"/>
  <c r="I171" i="94"/>
  <c r="I172" i="94"/>
  <c r="I173" i="94"/>
  <c r="I174" i="94"/>
  <c r="I175" i="94"/>
  <c r="I176" i="94"/>
  <c r="I177" i="94"/>
  <c r="I178" i="94"/>
  <c r="I179" i="94"/>
  <c r="I180" i="94"/>
  <c r="I181" i="94"/>
  <c r="I182" i="94"/>
  <c r="I183" i="94"/>
  <c r="I184" i="94"/>
  <c r="I185" i="94"/>
  <c r="I186" i="94"/>
  <c r="I187" i="94"/>
  <c r="I188" i="94"/>
  <c r="I189" i="94"/>
  <c r="I190" i="94"/>
  <c r="I191" i="94"/>
  <c r="I192" i="94"/>
  <c r="I193" i="94"/>
  <c r="I194" i="94"/>
  <c r="I195" i="94"/>
  <c r="I196" i="94"/>
  <c r="I197" i="94"/>
  <c r="I198" i="94"/>
  <c r="I199" i="94"/>
  <c r="I200" i="94"/>
  <c r="I201" i="94"/>
  <c r="I202" i="94"/>
  <c r="I203" i="94"/>
  <c r="I204" i="94"/>
  <c r="I205" i="94"/>
  <c r="I206" i="94"/>
  <c r="I207" i="94"/>
  <c r="I208" i="94"/>
  <c r="I209" i="94"/>
  <c r="I210" i="94"/>
  <c r="I211" i="94"/>
  <c r="I212" i="94"/>
  <c r="I213" i="94"/>
  <c r="I214" i="94"/>
  <c r="I215" i="94"/>
  <c r="I216" i="94"/>
  <c r="I217" i="94"/>
  <c r="I218" i="94"/>
  <c r="I219" i="94"/>
  <c r="I220" i="94"/>
  <c r="I221" i="94"/>
  <c r="I222" i="94"/>
  <c r="I223" i="94"/>
  <c r="I224" i="94"/>
  <c r="I225" i="94"/>
  <c r="I226" i="94"/>
  <c r="I227" i="94"/>
  <c r="I228" i="94"/>
  <c r="I229" i="94"/>
  <c r="I230" i="94"/>
  <c r="I231" i="94"/>
  <c r="I232" i="94"/>
  <c r="I233" i="94"/>
  <c r="I234" i="94"/>
  <c r="I235" i="94"/>
  <c r="I236" i="94"/>
  <c r="I237" i="94"/>
  <c r="I238" i="94"/>
  <c r="I239" i="94"/>
  <c r="I240" i="94"/>
  <c r="I241" i="94"/>
  <c r="I242" i="94"/>
  <c r="I243" i="94"/>
  <c r="I244" i="94"/>
  <c r="I245" i="94"/>
  <c r="I246" i="94"/>
  <c r="I247" i="94"/>
  <c r="I248" i="94"/>
  <c r="I249" i="94"/>
  <c r="I250" i="94"/>
  <c r="I251" i="94"/>
  <c r="I252" i="94"/>
  <c r="I253" i="94"/>
  <c r="I254" i="94"/>
  <c r="I255" i="94"/>
  <c r="I256" i="94"/>
  <c r="I257" i="94"/>
  <c r="I258" i="94"/>
  <c r="I259" i="94"/>
  <c r="I260" i="94"/>
  <c r="I261" i="94"/>
  <c r="I262" i="94"/>
  <c r="I263" i="94"/>
  <c r="I264" i="94"/>
  <c r="I265" i="94"/>
  <c r="I266" i="94"/>
  <c r="I267" i="94"/>
  <c r="I268" i="94"/>
  <c r="I269" i="94"/>
  <c r="I270" i="94"/>
  <c r="I271" i="94"/>
  <c r="I272" i="94"/>
  <c r="I273" i="94"/>
  <c r="I274" i="94"/>
  <c r="I275" i="94"/>
  <c r="I276" i="94"/>
  <c r="I277" i="94"/>
  <c r="I278" i="94"/>
  <c r="I279" i="94"/>
  <c r="I280" i="94"/>
  <c r="I281" i="94"/>
  <c r="I282" i="94"/>
  <c r="I283" i="94"/>
  <c r="I284" i="94"/>
  <c r="I285" i="94"/>
  <c r="I286" i="94"/>
  <c r="I287" i="94"/>
  <c r="I288" i="94"/>
  <c r="I289" i="94"/>
  <c r="I290" i="94"/>
  <c r="I291" i="94"/>
  <c r="I292" i="94"/>
  <c r="I293" i="94"/>
  <c r="I294" i="94"/>
  <c r="I295" i="94"/>
  <c r="I296" i="94"/>
  <c r="I297" i="94"/>
  <c r="I298" i="94"/>
  <c r="I299" i="94"/>
  <c r="I300" i="94"/>
  <c r="I301" i="94"/>
  <c r="I302" i="94"/>
  <c r="I303" i="94"/>
  <c r="I304" i="94"/>
  <c r="I305" i="94"/>
  <c r="I306" i="94"/>
  <c r="I307" i="94"/>
  <c r="I308" i="94"/>
  <c r="I309" i="94"/>
  <c r="I310" i="94"/>
  <c r="I311" i="94"/>
  <c r="I312" i="94"/>
  <c r="I313" i="94"/>
  <c r="I314" i="94"/>
  <c r="I315" i="94"/>
  <c r="I316" i="94"/>
  <c r="I317" i="94"/>
  <c r="I318" i="94"/>
  <c r="I319" i="94"/>
  <c r="I320" i="94"/>
  <c r="I321" i="94"/>
  <c r="I322" i="94"/>
  <c r="I323" i="94"/>
  <c r="I324" i="94"/>
  <c r="I325" i="94"/>
  <c r="I326" i="94"/>
  <c r="I327" i="94"/>
  <c r="I328" i="94"/>
  <c r="I329" i="94"/>
  <c r="I330" i="94"/>
  <c r="I331" i="94"/>
  <c r="I332" i="94"/>
  <c r="I333" i="94"/>
  <c r="I334" i="94"/>
  <c r="I335" i="94"/>
  <c r="I336" i="94"/>
  <c r="I337" i="94"/>
  <c r="I338" i="94"/>
  <c r="I339" i="94"/>
  <c r="I340" i="94"/>
  <c r="I341" i="94"/>
  <c r="I342" i="94"/>
  <c r="I343" i="94"/>
  <c r="I344" i="94"/>
  <c r="I345" i="94"/>
  <c r="I346" i="94"/>
  <c r="I347" i="94"/>
  <c r="I348" i="94"/>
  <c r="I349" i="94"/>
  <c r="I350" i="94"/>
  <c r="I351" i="94"/>
  <c r="I352" i="94"/>
  <c r="I353" i="94"/>
  <c r="I354" i="94"/>
  <c r="I355" i="94"/>
  <c r="I356" i="94"/>
  <c r="I357" i="94"/>
  <c r="I358" i="94"/>
  <c r="I359" i="94"/>
  <c r="I360" i="94"/>
  <c r="I361" i="94"/>
  <c r="I362" i="94"/>
  <c r="I363" i="94"/>
  <c r="I364" i="94"/>
  <c r="I365" i="94"/>
  <c r="I366" i="94"/>
  <c r="I367" i="94"/>
  <c r="I368" i="94"/>
  <c r="I369" i="94"/>
  <c r="I370" i="94"/>
  <c r="I371" i="94"/>
  <c r="I372" i="94"/>
  <c r="I373" i="94"/>
  <c r="I374" i="94"/>
  <c r="I375" i="94"/>
  <c r="I376" i="94"/>
  <c r="I377" i="94"/>
  <c r="I378" i="94"/>
  <c r="I379" i="94"/>
  <c r="I380" i="94"/>
  <c r="I381" i="94"/>
  <c r="I382" i="94"/>
  <c r="I383" i="94"/>
  <c r="I384" i="94"/>
  <c r="I385" i="94"/>
  <c r="I386" i="94"/>
  <c r="I387" i="94"/>
  <c r="I388" i="94"/>
  <c r="I389" i="94"/>
  <c r="I390" i="94"/>
  <c r="I391" i="94"/>
  <c r="I392" i="94"/>
  <c r="I393" i="94"/>
  <c r="I2" i="94"/>
  <c r="G3" i="123"/>
  <c r="H3" i="123" s="1"/>
  <c r="C3" i="123"/>
  <c r="G3" i="122"/>
  <c r="G2" i="122" s="1"/>
  <c r="C3" i="122"/>
  <c r="D3" i="122" s="1"/>
  <c r="E3" i="122" s="1"/>
  <c r="F3" i="122" s="1"/>
  <c r="D71" i="7"/>
  <c r="D72" i="7"/>
  <c r="D73" i="7"/>
  <c r="D74" i="7"/>
  <c r="D70" i="7"/>
  <c r="O17" i="123"/>
  <c r="AE17" i="123"/>
  <c r="G17" i="123"/>
  <c r="H17" i="123"/>
  <c r="L17" i="123"/>
  <c r="X17" i="123"/>
  <c r="AB17" i="123"/>
  <c r="AN17" i="123"/>
  <c r="AR17" i="123"/>
  <c r="AZ17" i="123"/>
  <c r="Q17" i="123"/>
  <c r="AG17" i="123"/>
  <c r="AW17" i="123"/>
  <c r="R17" i="123"/>
  <c r="AH17" i="123"/>
  <c r="AX17" i="123"/>
  <c r="D3" i="123"/>
  <c r="E3" i="123" s="1"/>
  <c r="F3" i="123" s="1"/>
  <c r="K61" i="7"/>
  <c r="L61" i="7"/>
  <c r="J61" i="7"/>
  <c r="C64" i="7"/>
  <c r="D64" i="7" s="1"/>
  <c r="E64" i="7" s="1"/>
  <c r="F64" i="7" s="1"/>
  <c r="J63" i="7"/>
  <c r="K63" i="7" s="1"/>
  <c r="L63" i="7" s="1"/>
  <c r="M63" i="7" s="1"/>
  <c r="J15" i="7"/>
  <c r="K15" i="7" s="1"/>
  <c r="L15" i="7" s="1"/>
  <c r="M15" i="7" s="1"/>
  <c r="G3" i="119"/>
  <c r="C3" i="119"/>
  <c r="D3" i="119" s="1"/>
  <c r="E3" i="119" s="1"/>
  <c r="F3" i="119" s="1"/>
  <c r="G3" i="109"/>
  <c r="G2" i="109" s="1"/>
  <c r="G26" i="109" s="1"/>
  <c r="C3" i="109"/>
  <c r="D3" i="109" s="1"/>
  <c r="E3" i="109" s="1"/>
  <c r="F3" i="109" s="1"/>
  <c r="F44" i="7"/>
  <c r="E44" i="7"/>
  <c r="D44" i="7"/>
  <c r="C44" i="7"/>
  <c r="C41" i="7"/>
  <c r="D41" i="7" s="1"/>
  <c r="E41" i="7" s="1"/>
  <c r="F41" i="7" s="1"/>
  <c r="K21" i="7"/>
  <c r="L21" i="7" s="1"/>
  <c r="M21" i="7" s="1"/>
  <c r="N21" i="7" s="1"/>
  <c r="G3" i="116"/>
  <c r="G2" i="116" s="1"/>
  <c r="C3" i="116"/>
  <c r="D3" i="116" s="1"/>
  <c r="E3" i="116" s="1"/>
  <c r="F3" i="116" s="1"/>
  <c r="C15" i="7"/>
  <c r="D15" i="7" s="1"/>
  <c r="E15" i="7" s="1"/>
  <c r="F15" i="7" s="1"/>
  <c r="C32" i="7"/>
  <c r="D32" i="7" s="1"/>
  <c r="E32" i="7" s="1"/>
  <c r="F32" i="7" s="1"/>
  <c r="C38" i="7"/>
  <c r="D38" i="7" s="1"/>
  <c r="E38" i="7" s="1"/>
  <c r="F38" i="7" s="1"/>
  <c r="J26" i="7"/>
  <c r="J27" i="7" s="1"/>
  <c r="J28" i="7" s="1"/>
  <c r="J29" i="7" s="1"/>
  <c r="A1" i="7"/>
  <c r="A1" i="116" s="1"/>
  <c r="B26" i="7"/>
  <c r="B27" i="7" s="1"/>
  <c r="B28" i="7" s="1"/>
  <c r="B29" i="7" s="1"/>
  <c r="C21" i="7"/>
  <c r="D21" i="7" s="1"/>
  <c r="E21" i="7" s="1"/>
  <c r="F21" i="7" s="1"/>
  <c r="G22" i="109" l="1"/>
  <c r="H3" i="122"/>
  <c r="H2" i="122" s="1"/>
  <c r="H3" i="109"/>
  <c r="I3" i="109" s="1"/>
  <c r="J3" i="109" s="1"/>
  <c r="G2" i="113"/>
  <c r="H3" i="116"/>
  <c r="H23" i="116" s="1"/>
  <c r="G8" i="113"/>
  <c r="H2" i="123"/>
  <c r="I3" i="123"/>
  <c r="I2" i="123" s="1"/>
  <c r="G14" i="116"/>
  <c r="G15" i="116" s="1"/>
  <c r="G13" i="116"/>
  <c r="G20" i="116"/>
  <c r="G19" i="116" s="1"/>
  <c r="G22" i="116" s="1"/>
  <c r="G25" i="116" s="1"/>
  <c r="G6" i="116"/>
  <c r="G7" i="116" s="1"/>
  <c r="G8" i="116" s="1"/>
  <c r="G9" i="116" s="1"/>
  <c r="G2" i="123"/>
  <c r="K17" i="123"/>
  <c r="S17" i="123"/>
  <c r="W17" i="123"/>
  <c r="AA17" i="123"/>
  <c r="AI17" i="123"/>
  <c r="AM17" i="123"/>
  <c r="AQ17" i="123"/>
  <c r="AY17" i="123"/>
  <c r="G24" i="122"/>
  <c r="A1" i="119"/>
  <c r="G33" i="109"/>
  <c r="H2" i="116"/>
  <c r="I3" i="116"/>
  <c r="G2" i="119"/>
  <c r="G18" i="119"/>
  <c r="H3" i="119"/>
  <c r="G34" i="109"/>
  <c r="G10" i="119"/>
  <c r="I3" i="113"/>
  <c r="J3" i="123" l="1"/>
  <c r="G10" i="116"/>
  <c r="H8" i="113"/>
  <c r="H2" i="109"/>
  <c r="H33" i="109" s="1"/>
  <c r="I2" i="109"/>
  <c r="I3" i="122"/>
  <c r="I2" i="122" s="1"/>
  <c r="G39" i="113"/>
  <c r="G34" i="113"/>
  <c r="G16" i="116"/>
  <c r="G30" i="116"/>
  <c r="H38" i="116" s="1"/>
  <c r="H39" i="116" s="1"/>
  <c r="H6" i="116"/>
  <c r="H13" i="116"/>
  <c r="H20" i="116"/>
  <c r="H19" i="116" s="1"/>
  <c r="H14" i="116"/>
  <c r="H15" i="116" s="1"/>
  <c r="G42" i="116"/>
  <c r="G8" i="119" s="1"/>
  <c r="G16" i="119" s="1"/>
  <c r="G13" i="109" s="1"/>
  <c r="G7" i="119"/>
  <c r="G15" i="119" s="1"/>
  <c r="G21" i="109" s="1"/>
  <c r="G9" i="119"/>
  <c r="G17" i="119" s="1"/>
  <c r="G29" i="109" s="1"/>
  <c r="I22" i="109"/>
  <c r="I26" i="109"/>
  <c r="I33" i="109"/>
  <c r="I34" i="109"/>
  <c r="K3" i="123"/>
  <c r="J2" i="123"/>
  <c r="H10" i="119"/>
  <c r="H2" i="119"/>
  <c r="H18" i="119" s="1"/>
  <c r="I3" i="119"/>
  <c r="J3" i="116"/>
  <c r="I2" i="116"/>
  <c r="G24" i="116"/>
  <c r="I2" i="113"/>
  <c r="I8" i="113"/>
  <c r="J3" i="113"/>
  <c r="K3" i="109"/>
  <c r="J2" i="109"/>
  <c r="I23" i="116"/>
  <c r="H22" i="109" l="1"/>
  <c r="J3" i="122"/>
  <c r="I39" i="113" s="1"/>
  <c r="H26" i="109"/>
  <c r="H34" i="109"/>
  <c r="I34" i="113"/>
  <c r="G31" i="116"/>
  <c r="H39" i="113"/>
  <c r="H34" i="113"/>
  <c r="J2" i="122"/>
  <c r="K3" i="122"/>
  <c r="J2" i="116"/>
  <c r="K3" i="116"/>
  <c r="G23" i="109"/>
  <c r="H22" i="116"/>
  <c r="H25" i="116" s="1"/>
  <c r="L3" i="109"/>
  <c r="K2" i="109"/>
  <c r="I10" i="119"/>
  <c r="I2" i="119"/>
  <c r="J3" i="119"/>
  <c r="L3" i="123"/>
  <c r="K2" i="123"/>
  <c r="H16" i="116"/>
  <c r="K3" i="113"/>
  <c r="J2" i="113"/>
  <c r="J8" i="113"/>
  <c r="J39" i="113"/>
  <c r="J34" i="113"/>
  <c r="G43" i="116"/>
  <c r="G26" i="116"/>
  <c r="J26" i="109"/>
  <c r="J33" i="109"/>
  <c r="J34" i="109"/>
  <c r="J22" i="109"/>
  <c r="I13" i="116"/>
  <c r="I14" i="116"/>
  <c r="I15" i="116" s="1"/>
  <c r="I20" i="116"/>
  <c r="I19" i="116" s="1"/>
  <c r="I22" i="116" s="1"/>
  <c r="I6" i="116"/>
  <c r="H7" i="119"/>
  <c r="H15" i="119" s="1"/>
  <c r="H9" i="119"/>
  <c r="H17" i="119" s="1"/>
  <c r="H29" i="109" s="1"/>
  <c r="G6" i="119"/>
  <c r="G12" i="109"/>
  <c r="G5" i="109"/>
  <c r="H7" i="116"/>
  <c r="G7" i="109"/>
  <c r="H34" i="116"/>
  <c r="H35" i="116" s="1"/>
  <c r="K2" i="122" l="1"/>
  <c r="L3" i="122"/>
  <c r="I25" i="116"/>
  <c r="I24" i="116" s="1"/>
  <c r="I26" i="116" s="1"/>
  <c r="J23" i="116"/>
  <c r="K23" i="116" s="1"/>
  <c r="I16" i="116"/>
  <c r="J10" i="119"/>
  <c r="K3" i="119"/>
  <c r="J2" i="119"/>
  <c r="K22" i="109"/>
  <c r="K34" i="109"/>
  <c r="K33" i="109"/>
  <c r="K26" i="109"/>
  <c r="H24" i="116"/>
  <c r="G6" i="109"/>
  <c r="K2" i="113"/>
  <c r="L3" i="113"/>
  <c r="K8" i="113"/>
  <c r="K39" i="113"/>
  <c r="K34" i="113"/>
  <c r="L2" i="123"/>
  <c r="M3" i="123"/>
  <c r="G11" i="119"/>
  <c r="G14" i="119"/>
  <c r="I7" i="116"/>
  <c r="I8" i="116" s="1"/>
  <c r="I9" i="116" s="1"/>
  <c r="I10" i="116" s="1"/>
  <c r="I9" i="119"/>
  <c r="I17" i="119" s="1"/>
  <c r="I7" i="119"/>
  <c r="I15" i="119" s="1"/>
  <c r="I21" i="109" s="1"/>
  <c r="I23" i="109" s="1"/>
  <c r="M3" i="109"/>
  <c r="L2" i="109"/>
  <c r="G7" i="113"/>
  <c r="H8" i="116"/>
  <c r="H21" i="109"/>
  <c r="I18" i="119"/>
  <c r="G16" i="113"/>
  <c r="L3" i="116"/>
  <c r="K2" i="116"/>
  <c r="J14" i="116"/>
  <c r="J15" i="116" s="1"/>
  <c r="J13" i="116"/>
  <c r="J6" i="116"/>
  <c r="J20" i="116"/>
  <c r="J19" i="116" s="1"/>
  <c r="M3" i="122" l="1"/>
  <c r="L2" i="122"/>
  <c r="J16" i="116"/>
  <c r="L2" i="116"/>
  <c r="M3" i="116"/>
  <c r="J22" i="116"/>
  <c r="J25" i="116" s="1"/>
  <c r="L34" i="109"/>
  <c r="L26" i="109"/>
  <c r="L33" i="109"/>
  <c r="L22" i="109"/>
  <c r="I29" i="109"/>
  <c r="M2" i="123"/>
  <c r="N3" i="123"/>
  <c r="L2" i="113"/>
  <c r="M3" i="113"/>
  <c r="L8" i="113"/>
  <c r="L39" i="113"/>
  <c r="L34" i="113"/>
  <c r="J7" i="119"/>
  <c r="J15" i="119" s="1"/>
  <c r="J9" i="119"/>
  <c r="J17" i="119" s="1"/>
  <c r="G25" i="109"/>
  <c r="G19" i="119"/>
  <c r="J7" i="116"/>
  <c r="H23" i="109"/>
  <c r="M2" i="109"/>
  <c r="N3" i="109"/>
  <c r="H26" i="116"/>
  <c r="K10" i="119"/>
  <c r="K2" i="119"/>
  <c r="K18" i="119" s="1"/>
  <c r="L3" i="119"/>
  <c r="L23" i="116"/>
  <c r="K13" i="116"/>
  <c r="K20" i="116"/>
  <c r="K19" i="116" s="1"/>
  <c r="K22" i="116" s="1"/>
  <c r="K25" i="116" s="1"/>
  <c r="K24" i="116" s="1"/>
  <c r="K26" i="116" s="1"/>
  <c r="K14" i="116"/>
  <c r="K15" i="116" s="1"/>
  <c r="K6" i="116"/>
  <c r="H9" i="116"/>
  <c r="I16" i="113"/>
  <c r="G30" i="109"/>
  <c r="G31" i="109"/>
  <c r="G9" i="109"/>
  <c r="G6" i="113"/>
  <c r="J18" i="119"/>
  <c r="K16" i="116" l="1"/>
  <c r="N3" i="122"/>
  <c r="M34" i="113" s="1"/>
  <c r="M2" i="122"/>
  <c r="M22" i="109"/>
  <c r="M26" i="109"/>
  <c r="M34" i="109"/>
  <c r="M33" i="109"/>
  <c r="J8" i="116"/>
  <c r="G27" i="109"/>
  <c r="N2" i="123"/>
  <c r="O3" i="123"/>
  <c r="K7" i="116"/>
  <c r="K8" i="116" s="1"/>
  <c r="K9" i="116" s="1"/>
  <c r="K10" i="116" s="1"/>
  <c r="M3" i="119"/>
  <c r="L2" i="119"/>
  <c r="L10" i="119"/>
  <c r="H16" i="113"/>
  <c r="J29" i="109"/>
  <c r="J24" i="116"/>
  <c r="M2" i="116"/>
  <c r="N3" i="116"/>
  <c r="G14" i="109"/>
  <c r="G35" i="109"/>
  <c r="H6" i="122"/>
  <c r="G9" i="113"/>
  <c r="H42" i="116"/>
  <c r="H30" i="116"/>
  <c r="H10" i="116"/>
  <c r="K9" i="119"/>
  <c r="K17" i="119" s="1"/>
  <c r="K29" i="109" s="1"/>
  <c r="K7" i="119"/>
  <c r="K15" i="119" s="1"/>
  <c r="K21" i="109" s="1"/>
  <c r="K23" i="109" s="1"/>
  <c r="O3" i="109"/>
  <c r="N2" i="109"/>
  <c r="G32" i="109"/>
  <c r="J21" i="109"/>
  <c r="M2" i="113"/>
  <c r="N3" i="113"/>
  <c r="M8" i="113"/>
  <c r="L20" i="116"/>
  <c r="L19" i="116" s="1"/>
  <c r="L14" i="116"/>
  <c r="L13" i="116"/>
  <c r="L6" i="116"/>
  <c r="M39" i="113" l="1"/>
  <c r="N2" i="122"/>
  <c r="O3" i="122"/>
  <c r="N34" i="113" s="1"/>
  <c r="J23" i="109"/>
  <c r="I38" i="116"/>
  <c r="H31" i="116"/>
  <c r="M20" i="116"/>
  <c r="M19" i="116" s="1"/>
  <c r="M22" i="116" s="1"/>
  <c r="M14" i="116"/>
  <c r="M15" i="116" s="1"/>
  <c r="M6" i="116"/>
  <c r="M13" i="116"/>
  <c r="L7" i="116"/>
  <c r="L8" i="116" s="1"/>
  <c r="L9" i="116" s="1"/>
  <c r="H6" i="119"/>
  <c r="H5" i="109"/>
  <c r="H12" i="109"/>
  <c r="H8" i="119"/>
  <c r="H16" i="119" s="1"/>
  <c r="H43" i="116"/>
  <c r="L9" i="119"/>
  <c r="L17" i="119" s="1"/>
  <c r="L7" i="119"/>
  <c r="L15" i="119" s="1"/>
  <c r="L21" i="109" s="1"/>
  <c r="L23" i="109" s="1"/>
  <c r="L22" i="116"/>
  <c r="J9" i="116"/>
  <c r="N2" i="113"/>
  <c r="O3" i="113"/>
  <c r="N8" i="113"/>
  <c r="N34" i="109"/>
  <c r="N22" i="109"/>
  <c r="N26" i="109"/>
  <c r="N33" i="109"/>
  <c r="K16" i="113"/>
  <c r="J26" i="116"/>
  <c r="M2" i="119"/>
  <c r="M10" i="119"/>
  <c r="N3" i="119"/>
  <c r="G28" i="113"/>
  <c r="L15" i="116"/>
  <c r="L16" i="116" s="1"/>
  <c r="P3" i="109"/>
  <c r="O2" i="109"/>
  <c r="G16" i="109"/>
  <c r="O3" i="116"/>
  <c r="N2" i="116"/>
  <c r="L18" i="119"/>
  <c r="G37" i="109"/>
  <c r="G38" i="109" s="1"/>
  <c r="O2" i="123"/>
  <c r="P3" i="123"/>
  <c r="G17" i="113"/>
  <c r="N39" i="113" l="1"/>
  <c r="O2" i="122"/>
  <c r="P3" i="122"/>
  <c r="M16" i="116"/>
  <c r="O34" i="109"/>
  <c r="O26" i="109"/>
  <c r="O22" i="109"/>
  <c r="O33" i="109"/>
  <c r="N6" i="116"/>
  <c r="N20" i="116"/>
  <c r="N19" i="116" s="1"/>
  <c r="N13" i="116"/>
  <c r="N14" i="116"/>
  <c r="N15" i="116" s="1"/>
  <c r="P2" i="109"/>
  <c r="Q3" i="109"/>
  <c r="M9" i="119"/>
  <c r="M17" i="119" s="1"/>
  <c r="M7" i="119"/>
  <c r="M15" i="119" s="1"/>
  <c r="J10" i="116"/>
  <c r="H6" i="109"/>
  <c r="G19" i="113"/>
  <c r="Q3" i="123"/>
  <c r="P2" i="123"/>
  <c r="O2" i="116"/>
  <c r="P3" i="116"/>
  <c r="M18" i="119"/>
  <c r="L25" i="116"/>
  <c r="M23" i="116"/>
  <c r="N23" i="116" s="1"/>
  <c r="O23" i="116" s="1"/>
  <c r="L16" i="113"/>
  <c r="H13" i="109"/>
  <c r="H11" i="119"/>
  <c r="H14" i="119"/>
  <c r="H7" i="109"/>
  <c r="I34" i="116"/>
  <c r="I35" i="116" s="1"/>
  <c r="J16" i="113"/>
  <c r="G18" i="113"/>
  <c r="G11" i="113"/>
  <c r="H13" i="122"/>
  <c r="G17" i="109"/>
  <c r="N2" i="119"/>
  <c r="N18" i="119"/>
  <c r="O3" i="119"/>
  <c r="N10" i="119"/>
  <c r="L29" i="109"/>
  <c r="M7" i="116"/>
  <c r="O2" i="113"/>
  <c r="P3" i="113"/>
  <c r="O8" i="113"/>
  <c r="O34" i="113"/>
  <c r="O39" i="113"/>
  <c r="L10" i="116"/>
  <c r="I39" i="116"/>
  <c r="M25" i="116" l="1"/>
  <c r="M24" i="116" s="1"/>
  <c r="M26" i="116" s="1"/>
  <c r="N16" i="116"/>
  <c r="Q3" i="122"/>
  <c r="P39" i="113" s="1"/>
  <c r="P2" i="122"/>
  <c r="I30" i="116"/>
  <c r="P8" i="113"/>
  <c r="P2" i="113"/>
  <c r="Q3" i="113"/>
  <c r="G12" i="113"/>
  <c r="G13" i="113" s="1"/>
  <c r="G39" i="109"/>
  <c r="H7" i="113"/>
  <c r="H25" i="109"/>
  <c r="H19" i="119"/>
  <c r="L24" i="116"/>
  <c r="O14" i="116"/>
  <c r="O15" i="116" s="1"/>
  <c r="O20" i="116"/>
  <c r="O19" i="116" s="1"/>
  <c r="O13" i="116"/>
  <c r="O6" i="116"/>
  <c r="M29" i="109"/>
  <c r="P22" i="109"/>
  <c r="P34" i="109"/>
  <c r="P33" i="109"/>
  <c r="P26" i="109"/>
  <c r="M8" i="116"/>
  <c r="N7" i="119"/>
  <c r="N15" i="119" s="1"/>
  <c r="N21" i="109" s="1"/>
  <c r="N23" i="109" s="1"/>
  <c r="N9" i="119"/>
  <c r="N17" i="119" s="1"/>
  <c r="N29" i="109" s="1"/>
  <c r="I42" i="116"/>
  <c r="H30" i="109"/>
  <c r="H31" i="109"/>
  <c r="N22" i="116"/>
  <c r="N25" i="116" s="1"/>
  <c r="N24" i="116" s="1"/>
  <c r="N26" i="116" s="1"/>
  <c r="G7" i="123"/>
  <c r="H16" i="122"/>
  <c r="G33" i="113"/>
  <c r="Q2" i="123"/>
  <c r="R3" i="123"/>
  <c r="N7" i="116"/>
  <c r="N8" i="116" s="1"/>
  <c r="N9" i="116" s="1"/>
  <c r="N10" i="116" s="1"/>
  <c r="O2" i="119"/>
  <c r="O18" i="119" s="1"/>
  <c r="P3" i="119"/>
  <c r="O10" i="119"/>
  <c r="P2" i="116"/>
  <c r="Q3" i="116"/>
  <c r="H9" i="109"/>
  <c r="H6" i="113"/>
  <c r="M21" i="109"/>
  <c r="Q2" i="109"/>
  <c r="R3" i="109"/>
  <c r="O16" i="116" l="1"/>
  <c r="R3" i="122"/>
  <c r="Q34" i="113" s="1"/>
  <c r="Q2" i="122"/>
  <c r="P34" i="113"/>
  <c r="R2" i="109"/>
  <c r="S3" i="109"/>
  <c r="L26" i="116"/>
  <c r="O22" i="116"/>
  <c r="Q2" i="113"/>
  <c r="R3" i="113"/>
  <c r="Q8" i="113"/>
  <c r="J38" i="116"/>
  <c r="I31" i="116"/>
  <c r="G36" i="113"/>
  <c r="G35" i="113" s="1"/>
  <c r="Q26" i="109"/>
  <c r="Q34" i="109"/>
  <c r="Q33" i="109"/>
  <c r="Q22" i="109"/>
  <c r="Q3" i="119"/>
  <c r="P2" i="119"/>
  <c r="P18" i="119" s="1"/>
  <c r="P10" i="119"/>
  <c r="S3" i="123"/>
  <c r="R2" i="123"/>
  <c r="N16" i="113"/>
  <c r="M9" i="116"/>
  <c r="H32" i="109"/>
  <c r="R3" i="116"/>
  <c r="Q2" i="116"/>
  <c r="I6" i="119"/>
  <c r="I12" i="109"/>
  <c r="I5" i="109"/>
  <c r="I43" i="116"/>
  <c r="I8" i="119"/>
  <c r="I16" i="119" s="1"/>
  <c r="P13" i="116"/>
  <c r="P6" i="116"/>
  <c r="P20" i="116"/>
  <c r="P19" i="116" s="1"/>
  <c r="P14" i="116"/>
  <c r="P15" i="116" s="1"/>
  <c r="M23" i="109"/>
  <c r="H9" i="113"/>
  <c r="I6" i="122"/>
  <c r="H14" i="109"/>
  <c r="H35" i="109"/>
  <c r="O7" i="119"/>
  <c r="O15" i="119" s="1"/>
  <c r="O21" i="109" s="1"/>
  <c r="O23" i="109" s="1"/>
  <c r="O9" i="119"/>
  <c r="O17" i="119" s="1"/>
  <c r="O29" i="109" s="1"/>
  <c r="O7" i="116"/>
  <c r="O8" i="116" s="1"/>
  <c r="O9" i="116" s="1"/>
  <c r="O10" i="116" s="1"/>
  <c r="H27" i="109"/>
  <c r="G20" i="113"/>
  <c r="G43" i="109"/>
  <c r="Q39" i="113" l="1"/>
  <c r="H37" i="109"/>
  <c r="H38" i="109" s="1"/>
  <c r="S3" i="122"/>
  <c r="R39" i="113" s="1"/>
  <c r="R2" i="122"/>
  <c r="P16" i="116"/>
  <c r="H17" i="113"/>
  <c r="Q6" i="116"/>
  <c r="Q20" i="116"/>
  <c r="Q19" i="116" s="1"/>
  <c r="Q22" i="116" s="1"/>
  <c r="Q14" i="116"/>
  <c r="Q15" i="116" s="1"/>
  <c r="Q13" i="116"/>
  <c r="S3" i="113"/>
  <c r="R2" i="113"/>
  <c r="R8" i="113"/>
  <c r="P7" i="116"/>
  <c r="P8" i="116" s="1"/>
  <c r="P9" i="116" s="1"/>
  <c r="O16" i="113"/>
  <c r="M16" i="113"/>
  <c r="I6" i="109"/>
  <c r="H8" i="122"/>
  <c r="G6" i="123" s="1"/>
  <c r="G46" i="109"/>
  <c r="S3" i="116"/>
  <c r="R2" i="116"/>
  <c r="M10" i="116"/>
  <c r="P9" i="119"/>
  <c r="P17" i="119" s="1"/>
  <c r="P29" i="109" s="1"/>
  <c r="P7" i="119"/>
  <c r="P15" i="119" s="1"/>
  <c r="P21" i="109" s="1"/>
  <c r="P23" i="109" s="1"/>
  <c r="J39" i="116"/>
  <c r="H16" i="109"/>
  <c r="H28" i="113"/>
  <c r="P22" i="116"/>
  <c r="I13" i="109"/>
  <c r="I11" i="119"/>
  <c r="I14" i="119"/>
  <c r="T3" i="123"/>
  <c r="S2" i="123"/>
  <c r="R3" i="119"/>
  <c r="Q2" i="119"/>
  <c r="Q18" i="119" s="1"/>
  <c r="Q10" i="119"/>
  <c r="O25" i="116"/>
  <c r="O24" i="116" s="1"/>
  <c r="P23" i="116"/>
  <c r="Q23" i="116" s="1"/>
  <c r="R23" i="116" s="1"/>
  <c r="T3" i="109"/>
  <c r="S2" i="109"/>
  <c r="I7" i="109"/>
  <c r="J34" i="116"/>
  <c r="J35" i="116" s="1"/>
  <c r="R34" i="109"/>
  <c r="R33" i="109"/>
  <c r="R26" i="109"/>
  <c r="R22" i="109"/>
  <c r="R34" i="113" l="1"/>
  <c r="H18" i="113"/>
  <c r="Q25" i="116"/>
  <c r="Q24" i="116" s="1"/>
  <c r="Q26" i="116" s="1"/>
  <c r="S2" i="122"/>
  <c r="T3" i="122"/>
  <c r="O26" i="116"/>
  <c r="H19" i="113"/>
  <c r="P16" i="113"/>
  <c r="I30" i="109"/>
  <c r="I31" i="109"/>
  <c r="H11" i="113"/>
  <c r="I13" i="122"/>
  <c r="H17" i="109"/>
  <c r="S34" i="109"/>
  <c r="S22" i="109"/>
  <c r="S33" i="109"/>
  <c r="S26" i="109"/>
  <c r="U3" i="109"/>
  <c r="T2" i="109"/>
  <c r="T2" i="123"/>
  <c r="U3" i="123"/>
  <c r="T3" i="113"/>
  <c r="S2" i="113"/>
  <c r="S8" i="113"/>
  <c r="S39" i="113"/>
  <c r="S34" i="113"/>
  <c r="Q7" i="116"/>
  <c r="Q8" i="116" s="1"/>
  <c r="Q9" i="116" s="1"/>
  <c r="J42" i="116"/>
  <c r="S2" i="116"/>
  <c r="T3" i="116"/>
  <c r="G22" i="113"/>
  <c r="G48" i="109"/>
  <c r="I7" i="113"/>
  <c r="Q7" i="119"/>
  <c r="Q15" i="119" s="1"/>
  <c r="Q21" i="109" s="1"/>
  <c r="Q23" i="109" s="1"/>
  <c r="Q9" i="119"/>
  <c r="Q17" i="119" s="1"/>
  <c r="Q29" i="109" s="1"/>
  <c r="S3" i="119"/>
  <c r="R2" i="119"/>
  <c r="R10" i="119"/>
  <c r="I19" i="119"/>
  <c r="I25" i="109"/>
  <c r="P25" i="116"/>
  <c r="P24" i="116" s="1"/>
  <c r="J30" i="116"/>
  <c r="R14" i="116"/>
  <c r="R15" i="116" s="1"/>
  <c r="R20" i="116"/>
  <c r="R19" i="116" s="1"/>
  <c r="R6" i="116"/>
  <c r="R13" i="116"/>
  <c r="I9" i="109"/>
  <c r="I6" i="113"/>
  <c r="P10" i="116"/>
  <c r="Q16" i="116"/>
  <c r="T2" i="122" l="1"/>
  <c r="U3" i="122"/>
  <c r="V3" i="123"/>
  <c r="U2" i="123"/>
  <c r="P26" i="116"/>
  <c r="I16" i="122"/>
  <c r="H7" i="123"/>
  <c r="H33" i="113"/>
  <c r="T2" i="116"/>
  <c r="U3" i="116"/>
  <c r="J6" i="122"/>
  <c r="I14" i="109"/>
  <c r="I35" i="109"/>
  <c r="I9" i="113"/>
  <c r="T3" i="119"/>
  <c r="S2" i="119"/>
  <c r="S10" i="119"/>
  <c r="Q16" i="113"/>
  <c r="Q10" i="116"/>
  <c r="U3" i="113"/>
  <c r="T2" i="113"/>
  <c r="T8" i="113"/>
  <c r="T39" i="113"/>
  <c r="T34" i="113"/>
  <c r="T34" i="109"/>
  <c r="T22" i="109"/>
  <c r="T33" i="109"/>
  <c r="T26" i="109"/>
  <c r="R7" i="116"/>
  <c r="R8" i="116" s="1"/>
  <c r="R9" i="116" s="1"/>
  <c r="K38" i="116"/>
  <c r="J31" i="116"/>
  <c r="R22" i="116"/>
  <c r="R7" i="119"/>
  <c r="R15" i="119" s="1"/>
  <c r="R21" i="109" s="1"/>
  <c r="R23" i="109" s="1"/>
  <c r="R9" i="119"/>
  <c r="R17" i="119" s="1"/>
  <c r="G23" i="113"/>
  <c r="G5" i="123"/>
  <c r="H20" i="122"/>
  <c r="S14" i="116"/>
  <c r="S15" i="116" s="1"/>
  <c r="S13" i="116"/>
  <c r="S20" i="116"/>
  <c r="S19" i="116" s="1"/>
  <c r="S6" i="116"/>
  <c r="I27" i="109"/>
  <c r="R16" i="116"/>
  <c r="I32" i="109"/>
  <c r="I37" i="109" s="1"/>
  <c r="R18" i="119"/>
  <c r="J5" i="109"/>
  <c r="J12" i="109"/>
  <c r="J6" i="119"/>
  <c r="J8" i="119"/>
  <c r="J16" i="119" s="1"/>
  <c r="J43" i="116"/>
  <c r="U2" i="109"/>
  <c r="V3" i="109"/>
  <c r="H12" i="113"/>
  <c r="H13" i="113" s="1"/>
  <c r="H39" i="109"/>
  <c r="R29" i="109" l="1"/>
  <c r="U2" i="122"/>
  <c r="V3" i="122"/>
  <c r="U34" i="113" s="1"/>
  <c r="I18" i="113"/>
  <c r="J7" i="109"/>
  <c r="K34" i="116"/>
  <c r="K35" i="116" s="1"/>
  <c r="J6" i="109"/>
  <c r="I17" i="113"/>
  <c r="I38" i="109"/>
  <c r="R25" i="116"/>
  <c r="R24" i="116" s="1"/>
  <c r="S23" i="116"/>
  <c r="T23" i="116" s="1"/>
  <c r="U23" i="116" s="1"/>
  <c r="K39" i="116"/>
  <c r="K30" i="116" s="1"/>
  <c r="S7" i="119"/>
  <c r="S15" i="119" s="1"/>
  <c r="S21" i="109" s="1"/>
  <c r="S23" i="109" s="1"/>
  <c r="S9" i="119"/>
  <c r="S17" i="119" s="1"/>
  <c r="J14" i="119"/>
  <c r="J11" i="119"/>
  <c r="V2" i="109"/>
  <c r="W3" i="109"/>
  <c r="J13" i="109"/>
  <c r="S7" i="116"/>
  <c r="S8" i="116" s="1"/>
  <c r="S9" i="116" s="1"/>
  <c r="S10" i="116" s="1"/>
  <c r="U2" i="113"/>
  <c r="V3" i="113"/>
  <c r="U8" i="113"/>
  <c r="U39" i="113"/>
  <c r="U3" i="119"/>
  <c r="T2" i="119"/>
  <c r="T18" i="119" s="1"/>
  <c r="T10" i="119"/>
  <c r="I16" i="109"/>
  <c r="I28" i="113"/>
  <c r="V3" i="116"/>
  <c r="U2" i="116"/>
  <c r="H36" i="113"/>
  <c r="H35" i="113" s="1"/>
  <c r="V2" i="123"/>
  <c r="W3" i="123"/>
  <c r="U22" i="109"/>
  <c r="U26" i="109"/>
  <c r="U34" i="109"/>
  <c r="U33" i="109"/>
  <c r="H21" i="122"/>
  <c r="G40" i="113"/>
  <c r="H43" i="109"/>
  <c r="H20" i="113"/>
  <c r="S16" i="116"/>
  <c r="G8" i="123"/>
  <c r="R16" i="113"/>
  <c r="R10" i="116"/>
  <c r="S18" i="119"/>
  <c r="T20" i="116"/>
  <c r="T19" i="116" s="1"/>
  <c r="T22" i="116" s="1"/>
  <c r="T25" i="116" s="1"/>
  <c r="T24" i="116" s="1"/>
  <c r="T26" i="116" s="1"/>
  <c r="T13" i="116"/>
  <c r="T6" i="116"/>
  <c r="T14" i="116"/>
  <c r="T15" i="116" s="1"/>
  <c r="S22" i="116"/>
  <c r="S25" i="116" s="1"/>
  <c r="S24" i="116" s="1"/>
  <c r="S26" i="116" s="1"/>
  <c r="V2" i="122" l="1"/>
  <c r="W3" i="122"/>
  <c r="V34" i="113" s="1"/>
  <c r="V2" i="113"/>
  <c r="W3" i="113"/>
  <c r="V8" i="113"/>
  <c r="V39" i="113"/>
  <c r="J25" i="109"/>
  <c r="J19" i="119"/>
  <c r="S16" i="113"/>
  <c r="R26" i="116"/>
  <c r="V3" i="119"/>
  <c r="U2" i="119"/>
  <c r="U18" i="119" s="1"/>
  <c r="U10" i="119"/>
  <c r="X3" i="109"/>
  <c r="W2" i="109"/>
  <c r="J9" i="109"/>
  <c r="J6" i="113"/>
  <c r="J7" i="113"/>
  <c r="V33" i="109"/>
  <c r="V34" i="109"/>
  <c r="V22" i="109"/>
  <c r="V26" i="109"/>
  <c r="L38" i="116"/>
  <c r="L39" i="116" s="1"/>
  <c r="L30" i="116" s="1"/>
  <c r="M38" i="116" s="1"/>
  <c r="M39" i="116" s="1"/>
  <c r="M30" i="116" s="1"/>
  <c r="N38" i="116" s="1"/>
  <c r="N39" i="116" s="1"/>
  <c r="N30" i="116" s="1"/>
  <c r="O38" i="116" s="1"/>
  <c r="O39" i="116" s="1"/>
  <c r="O30" i="116" s="1"/>
  <c r="P38" i="116" s="1"/>
  <c r="P39" i="116" s="1"/>
  <c r="P30" i="116" s="1"/>
  <c r="Q38" i="116" s="1"/>
  <c r="Q39" i="116" s="1"/>
  <c r="Q30" i="116" s="1"/>
  <c r="R38" i="116" s="1"/>
  <c r="R39" i="116" s="1"/>
  <c r="R30" i="116" s="1"/>
  <c r="S38" i="116" s="1"/>
  <c r="S39" i="116" s="1"/>
  <c r="S30" i="116" s="1"/>
  <c r="T38" i="116" s="1"/>
  <c r="T39" i="116" s="1"/>
  <c r="I19" i="113"/>
  <c r="K42" i="116"/>
  <c r="W3" i="116"/>
  <c r="V2" i="116"/>
  <c r="J13" i="122"/>
  <c r="I11" i="113"/>
  <c r="I17" i="109"/>
  <c r="T7" i="116"/>
  <c r="T8" i="116" s="1"/>
  <c r="T9" i="116" s="1"/>
  <c r="G19" i="123"/>
  <c r="H46" i="109"/>
  <c r="I8" i="122"/>
  <c r="H6" i="123" s="1"/>
  <c r="G41" i="113"/>
  <c r="H22" i="122"/>
  <c r="T16" i="116"/>
  <c r="W2" i="123"/>
  <c r="X3" i="123"/>
  <c r="U13" i="116"/>
  <c r="U6" i="116"/>
  <c r="U14" i="116"/>
  <c r="U15" i="116" s="1"/>
  <c r="U20" i="116"/>
  <c r="U19" i="116" s="1"/>
  <c r="U22" i="116" s="1"/>
  <c r="T9" i="119"/>
  <c r="T17" i="119" s="1"/>
  <c r="T29" i="109" s="1"/>
  <c r="T7" i="119"/>
  <c r="T15" i="119" s="1"/>
  <c r="T21" i="109" s="1"/>
  <c r="T23" i="109" s="1"/>
  <c r="J31" i="109"/>
  <c r="J30" i="109"/>
  <c r="S29" i="109"/>
  <c r="K31" i="116"/>
  <c r="U25" i="116" l="1"/>
  <c r="U24" i="116" s="1"/>
  <c r="U26" i="116" s="1"/>
  <c r="V23" i="116"/>
  <c r="W23" i="116" s="1"/>
  <c r="X3" i="122"/>
  <c r="W34" i="113" s="1"/>
  <c r="W2" i="122"/>
  <c r="H5" i="122"/>
  <c r="I39" i="109"/>
  <c r="I12" i="113"/>
  <c r="I13" i="113" s="1"/>
  <c r="V6" i="116"/>
  <c r="V13" i="116"/>
  <c r="V14" i="116"/>
  <c r="V15" i="116" s="1"/>
  <c r="V20" i="116"/>
  <c r="V19" i="116" s="1"/>
  <c r="V22" i="116" s="1"/>
  <c r="K6" i="119"/>
  <c r="K5" i="109"/>
  <c r="K12" i="109"/>
  <c r="K43" i="116"/>
  <c r="K8" i="119"/>
  <c r="K16" i="119" s="1"/>
  <c r="J14" i="109"/>
  <c r="J35" i="109"/>
  <c r="K6" i="122"/>
  <c r="J9" i="113"/>
  <c r="V2" i="119"/>
  <c r="V10" i="119"/>
  <c r="W3" i="119"/>
  <c r="T16" i="113"/>
  <c r="U7" i="116"/>
  <c r="U8" i="116" s="1"/>
  <c r="U9" i="116" s="1"/>
  <c r="U10" i="116" s="1"/>
  <c r="X3" i="116"/>
  <c r="W2" i="116"/>
  <c r="W34" i="109"/>
  <c r="W33" i="109"/>
  <c r="W26" i="109"/>
  <c r="W22" i="109"/>
  <c r="U16" i="116"/>
  <c r="H22" i="113"/>
  <c r="H48" i="109"/>
  <c r="J32" i="109"/>
  <c r="W2" i="113"/>
  <c r="X3" i="113"/>
  <c r="W8" i="113"/>
  <c r="W39" i="113"/>
  <c r="L31" i="116"/>
  <c r="M34" i="116" s="1"/>
  <c r="M35" i="116" s="1"/>
  <c r="M42" i="116" s="1"/>
  <c r="K7" i="109"/>
  <c r="L34" i="116"/>
  <c r="L35" i="116" s="1"/>
  <c r="L42" i="116" s="1"/>
  <c r="T30" i="116"/>
  <c r="U38" i="116" s="1"/>
  <c r="U39" i="116" s="1"/>
  <c r="X2" i="109"/>
  <c r="Y3" i="109"/>
  <c r="Y3" i="123"/>
  <c r="X2" i="123"/>
  <c r="T10" i="116"/>
  <c r="J16" i="122"/>
  <c r="I7" i="123"/>
  <c r="I33" i="113"/>
  <c r="U7" i="119"/>
  <c r="U15" i="119" s="1"/>
  <c r="U21" i="109" s="1"/>
  <c r="U23" i="109" s="1"/>
  <c r="U9" i="119"/>
  <c r="U17" i="119" s="1"/>
  <c r="U29" i="109" s="1"/>
  <c r="J27" i="109"/>
  <c r="V25" i="116" l="1"/>
  <c r="V24" i="116" s="1"/>
  <c r="V26" i="116" s="1"/>
  <c r="Y3" i="122"/>
  <c r="X34" i="113" s="1"/>
  <c r="X2" i="122"/>
  <c r="X23" i="116"/>
  <c r="J37" i="109"/>
  <c r="J18" i="113" s="1"/>
  <c r="M12" i="109"/>
  <c r="M6" i="119"/>
  <c r="M5" i="109"/>
  <c r="M6" i="109" s="1"/>
  <c r="M43" i="116"/>
  <c r="M8" i="119"/>
  <c r="M16" i="119" s="1"/>
  <c r="M13" i="109" s="1"/>
  <c r="M31" i="116"/>
  <c r="L7" i="109"/>
  <c r="L7" i="113" s="1"/>
  <c r="W13" i="116"/>
  <c r="W20" i="116"/>
  <c r="W19" i="116" s="1"/>
  <c r="W6" i="116"/>
  <c r="W14" i="116"/>
  <c r="W15" i="116" s="1"/>
  <c r="J16" i="109"/>
  <c r="Z3" i="109"/>
  <c r="Y2" i="109"/>
  <c r="Y3" i="113"/>
  <c r="X2" i="113"/>
  <c r="X8" i="113"/>
  <c r="H23" i="113"/>
  <c r="H5" i="123"/>
  <c r="I20" i="122"/>
  <c r="Y3" i="116"/>
  <c r="X2" i="116"/>
  <c r="V7" i="119"/>
  <c r="V15" i="119" s="1"/>
  <c r="V21" i="109" s="1"/>
  <c r="V23" i="109" s="1"/>
  <c r="V9" i="119"/>
  <c r="V17" i="119" s="1"/>
  <c r="J28" i="113"/>
  <c r="K6" i="109"/>
  <c r="V16" i="116"/>
  <c r="I43" i="109"/>
  <c r="I20" i="113"/>
  <c r="J17" i="113"/>
  <c r="Y2" i="123"/>
  <c r="Z3" i="123"/>
  <c r="X22" i="109"/>
  <c r="X34" i="109"/>
  <c r="X33" i="109"/>
  <c r="X26" i="109"/>
  <c r="K7" i="113"/>
  <c r="V18" i="119"/>
  <c r="K13" i="109"/>
  <c r="K14" i="119"/>
  <c r="K11" i="119"/>
  <c r="V7" i="116"/>
  <c r="V8" i="116" s="1"/>
  <c r="V9" i="116" s="1"/>
  <c r="U16" i="113"/>
  <c r="L12" i="109"/>
  <c r="L5" i="109"/>
  <c r="L6" i="109" s="1"/>
  <c r="L6" i="119"/>
  <c r="L8" i="119"/>
  <c r="L16" i="119" s="1"/>
  <c r="L13" i="109" s="1"/>
  <c r="L43" i="116"/>
  <c r="I36" i="113"/>
  <c r="I35" i="113" s="1"/>
  <c r="U30" i="116"/>
  <c r="V38" i="116" s="1"/>
  <c r="V39" i="116" s="1"/>
  <c r="X3" i="119"/>
  <c r="W2" i="119"/>
  <c r="W18" i="119" s="1"/>
  <c r="W10" i="119"/>
  <c r="H10" i="122"/>
  <c r="G27" i="113"/>
  <c r="X39" i="113" l="1"/>
  <c r="J38" i="109"/>
  <c r="K13" i="122" s="1"/>
  <c r="W16" i="116"/>
  <c r="Z3" i="122"/>
  <c r="Y34" i="113" s="1"/>
  <c r="Y2" i="122"/>
  <c r="J8" i="122"/>
  <c r="I6" i="123" s="1"/>
  <c r="I46" i="109"/>
  <c r="V16" i="113"/>
  <c r="Z2" i="109"/>
  <c r="AA3" i="109"/>
  <c r="J11" i="113"/>
  <c r="J17" i="109"/>
  <c r="L9" i="109"/>
  <c r="L6" i="113"/>
  <c r="K31" i="109"/>
  <c r="K30" i="109"/>
  <c r="K25" i="109"/>
  <c r="K19" i="119"/>
  <c r="K32" i="109" s="1"/>
  <c r="X20" i="116"/>
  <c r="X19" i="116" s="1"/>
  <c r="X13" i="116"/>
  <c r="X6" i="116"/>
  <c r="X14" i="116"/>
  <c r="X15" i="116" s="1"/>
  <c r="H8" i="123"/>
  <c r="V30" i="116"/>
  <c r="W38" i="116" s="1"/>
  <c r="W39" i="116" s="1"/>
  <c r="Y2" i="116"/>
  <c r="Z3" i="116"/>
  <c r="Y8" i="113"/>
  <c r="Y2" i="113"/>
  <c r="Z3" i="113"/>
  <c r="W7" i="116"/>
  <c r="W8" i="116" s="1"/>
  <c r="W9" i="116" s="1"/>
  <c r="W10" i="116" s="1"/>
  <c r="M6" i="113"/>
  <c r="W9" i="119"/>
  <c r="W17" i="119" s="1"/>
  <c r="W29" i="109" s="1"/>
  <c r="W7" i="119"/>
  <c r="W15" i="119" s="1"/>
  <c r="W21" i="109" s="1"/>
  <c r="W23" i="109" s="1"/>
  <c r="H24" i="122"/>
  <c r="G30" i="113"/>
  <c r="G29" i="113" s="1"/>
  <c r="Y3" i="119"/>
  <c r="X10" i="119"/>
  <c r="X2" i="119"/>
  <c r="X18" i="119" s="1"/>
  <c r="L14" i="119"/>
  <c r="L11" i="119"/>
  <c r="V10" i="116"/>
  <c r="AA3" i="123"/>
  <c r="Z2" i="123"/>
  <c r="J19" i="113"/>
  <c r="K9" i="109"/>
  <c r="K6" i="113"/>
  <c r="V29" i="109"/>
  <c r="I21" i="122"/>
  <c r="H40" i="113"/>
  <c r="Y26" i="109"/>
  <c r="Y34" i="109"/>
  <c r="Y33" i="109"/>
  <c r="Y22" i="109"/>
  <c r="W22" i="116"/>
  <c r="W25" i="116" s="1"/>
  <c r="W24" i="116" s="1"/>
  <c r="W26" i="116" s="1"/>
  <c r="N31" i="116"/>
  <c r="M7" i="109"/>
  <c r="M7" i="113" s="1"/>
  <c r="N34" i="116"/>
  <c r="N35" i="116" s="1"/>
  <c r="N42" i="116" s="1"/>
  <c r="M11" i="119"/>
  <c r="M14" i="119"/>
  <c r="X16" i="116" l="1"/>
  <c r="Y39" i="113"/>
  <c r="AA3" i="122"/>
  <c r="Z2" i="122"/>
  <c r="X7" i="116"/>
  <c r="X8" i="116" s="1"/>
  <c r="X9" i="116" s="1"/>
  <c r="K27" i="109"/>
  <c r="Z26" i="109"/>
  <c r="Z34" i="109"/>
  <c r="Z33" i="109"/>
  <c r="Z22" i="109"/>
  <c r="I22" i="113"/>
  <c r="I48" i="109"/>
  <c r="M25" i="109"/>
  <c r="M27" i="109" s="1"/>
  <c r="M19" i="119"/>
  <c r="M32" i="109" s="1"/>
  <c r="H41" i="113"/>
  <c r="I22" i="122"/>
  <c r="K14" i="109"/>
  <c r="L6" i="122"/>
  <c r="K35" i="109"/>
  <c r="K37" i="109" s="1"/>
  <c r="K9" i="113"/>
  <c r="AB3" i="123"/>
  <c r="AA2" i="123"/>
  <c r="Y2" i="119"/>
  <c r="Y18" i="119" s="1"/>
  <c r="Z3" i="119"/>
  <c r="Y10" i="119"/>
  <c r="M9" i="109"/>
  <c r="Z2" i="116"/>
  <c r="AA3" i="116"/>
  <c r="L35" i="109"/>
  <c r="M6" i="122"/>
  <c r="L14" i="109"/>
  <c r="L16" i="109" s="1"/>
  <c r="L9" i="113"/>
  <c r="M31" i="109"/>
  <c r="M30" i="109"/>
  <c r="W16" i="113"/>
  <c r="AA3" i="113"/>
  <c r="Z2" i="113"/>
  <c r="Z8" i="113"/>
  <c r="Z34" i="113"/>
  <c r="Z39" i="113"/>
  <c r="Y20" i="116"/>
  <c r="Y19" i="116" s="1"/>
  <c r="Y13" i="116"/>
  <c r="Y6" i="116"/>
  <c r="Y14" i="116"/>
  <c r="Y15" i="116" s="1"/>
  <c r="H19" i="123"/>
  <c r="X22" i="116"/>
  <c r="K16" i="122"/>
  <c r="J7" i="123"/>
  <c r="J33" i="113"/>
  <c r="L19" i="119"/>
  <c r="L32" i="109" s="1"/>
  <c r="L25" i="109"/>
  <c r="L27" i="109" s="1"/>
  <c r="O31" i="116"/>
  <c r="N7" i="109"/>
  <c r="N7" i="113" s="1"/>
  <c r="O34" i="116"/>
  <c r="O35" i="116" s="1"/>
  <c r="O42" i="116" s="1"/>
  <c r="N5" i="109"/>
  <c r="N6" i="109" s="1"/>
  <c r="N12" i="109"/>
  <c r="N6" i="119"/>
  <c r="N8" i="119"/>
  <c r="N16" i="119" s="1"/>
  <c r="N13" i="109" s="1"/>
  <c r="N43" i="116"/>
  <c r="L30" i="109"/>
  <c r="L31" i="109"/>
  <c r="X9" i="119"/>
  <c r="X17" i="119" s="1"/>
  <c r="X29" i="109" s="1"/>
  <c r="X7" i="119"/>
  <c r="X15" i="119" s="1"/>
  <c r="X21" i="109" s="1"/>
  <c r="X23" i="109" s="1"/>
  <c r="W30" i="116"/>
  <c r="X38" i="116" s="1"/>
  <c r="X39" i="116" s="1"/>
  <c r="J39" i="109"/>
  <c r="J12" i="113"/>
  <c r="J13" i="113" s="1"/>
  <c r="AB3" i="109"/>
  <c r="AA2" i="109"/>
  <c r="Y16" i="116" l="1"/>
  <c r="AB3" i="122"/>
  <c r="AA39" i="113" s="1"/>
  <c r="AA2" i="122"/>
  <c r="AA33" i="109"/>
  <c r="AA26" i="109"/>
  <c r="AA22" i="109"/>
  <c r="AA34" i="109"/>
  <c r="J43" i="109"/>
  <c r="J20" i="113"/>
  <c r="L37" i="109"/>
  <c r="L18" i="113" s="1"/>
  <c r="K18" i="113"/>
  <c r="I5" i="122"/>
  <c r="Y22" i="116"/>
  <c r="AB3" i="113"/>
  <c r="AA2" i="113"/>
  <c r="AA8" i="113"/>
  <c r="AA34" i="113"/>
  <c r="L11" i="113"/>
  <c r="AB3" i="116"/>
  <c r="AA2" i="116"/>
  <c r="Z2" i="119"/>
  <c r="Z10" i="119"/>
  <c r="AA3" i="119"/>
  <c r="K16" i="109"/>
  <c r="M17" i="113"/>
  <c r="X16" i="113"/>
  <c r="L28" i="113"/>
  <c r="Z14" i="116"/>
  <c r="Z15" i="116" s="1"/>
  <c r="Z20" i="116"/>
  <c r="Z19" i="116" s="1"/>
  <c r="Z6" i="116"/>
  <c r="Z13" i="116"/>
  <c r="I5" i="123"/>
  <c r="I23" i="113"/>
  <c r="J20" i="122"/>
  <c r="N14" i="119"/>
  <c r="N11" i="119"/>
  <c r="AB2" i="109"/>
  <c r="AC3" i="109"/>
  <c r="N9" i="109"/>
  <c r="N6" i="113"/>
  <c r="P31" i="116"/>
  <c r="O7" i="109"/>
  <c r="O7" i="113" s="1"/>
  <c r="P34" i="116"/>
  <c r="P35" i="116" s="1"/>
  <c r="P42" i="116" s="1"/>
  <c r="X25" i="116"/>
  <c r="X24" i="116" s="1"/>
  <c r="Y23" i="116"/>
  <c r="Z23" i="116" s="1"/>
  <c r="AA23" i="116" s="1"/>
  <c r="O12" i="109"/>
  <c r="O5" i="109"/>
  <c r="O6" i="109" s="1"/>
  <c r="O6" i="119"/>
  <c r="O8" i="119"/>
  <c r="O16" i="119" s="1"/>
  <c r="O13" i="109" s="1"/>
  <c r="O43" i="116"/>
  <c r="L17" i="113"/>
  <c r="J36" i="113"/>
  <c r="J35" i="113" s="1"/>
  <c r="Z22" i="116"/>
  <c r="Y7" i="116"/>
  <c r="Y8" i="116" s="1"/>
  <c r="Y9" i="116" s="1"/>
  <c r="Y10" i="116" s="1"/>
  <c r="L17" i="109"/>
  <c r="M14" i="109"/>
  <c r="M16" i="109" s="1"/>
  <c r="M17" i="109" s="1"/>
  <c r="M35" i="109"/>
  <c r="M37" i="109" s="1"/>
  <c r="N6" i="122"/>
  <c r="M9" i="113"/>
  <c r="Y7" i="119"/>
  <c r="Y15" i="119" s="1"/>
  <c r="Y21" i="109" s="1"/>
  <c r="Y23" i="109" s="1"/>
  <c r="Y9" i="119"/>
  <c r="Y17" i="119" s="1"/>
  <c r="Y29" i="109" s="1"/>
  <c r="AB2" i="123"/>
  <c r="AC3" i="123"/>
  <c r="X10" i="116"/>
  <c r="K28" i="113"/>
  <c r="K17" i="113"/>
  <c r="K38" i="109"/>
  <c r="L38" i="109" l="1"/>
  <c r="L19" i="113" s="1"/>
  <c r="X30" i="116"/>
  <c r="Y38" i="116" s="1"/>
  <c r="Y39" i="116" s="1"/>
  <c r="Z16" i="116"/>
  <c r="AC3" i="122"/>
  <c r="AB39" i="113" s="1"/>
  <c r="AB2" i="122"/>
  <c r="M18" i="113"/>
  <c r="M38" i="109"/>
  <c r="M19" i="113" s="1"/>
  <c r="M12" i="113"/>
  <c r="M13" i="113" s="1"/>
  <c r="Q31" i="116"/>
  <c r="P7" i="109"/>
  <c r="P7" i="113" s="1"/>
  <c r="Q34" i="116"/>
  <c r="Q35" i="116" s="1"/>
  <c r="Q42" i="116" s="1"/>
  <c r="AB34" i="109"/>
  <c r="AB22" i="109"/>
  <c r="AB33" i="109"/>
  <c r="AB26" i="109"/>
  <c r="I8" i="123"/>
  <c r="Z7" i="119"/>
  <c r="Z15" i="119" s="1"/>
  <c r="Z21" i="109" s="1"/>
  <c r="Z23" i="109" s="1"/>
  <c r="Z9" i="119"/>
  <c r="Z17" i="119" s="1"/>
  <c r="M13" i="122"/>
  <c r="I10" i="122"/>
  <c r="H27" i="113"/>
  <c r="K19" i="113"/>
  <c r="AC2" i="123"/>
  <c r="AD3" i="123"/>
  <c r="Y16" i="113"/>
  <c r="P12" i="109"/>
  <c r="P6" i="119"/>
  <c r="P5" i="109"/>
  <c r="P6" i="109" s="1"/>
  <c r="P8" i="119"/>
  <c r="P16" i="119" s="1"/>
  <c r="P13" i="109" s="1"/>
  <c r="P43" i="116"/>
  <c r="N31" i="109"/>
  <c r="N30" i="109"/>
  <c r="J21" i="122"/>
  <c r="I40" i="113"/>
  <c r="AA2" i="119"/>
  <c r="AB3" i="119"/>
  <c r="AA10" i="119"/>
  <c r="AA20" i="116"/>
  <c r="AA19" i="116" s="1"/>
  <c r="AA22" i="116" s="1"/>
  <c r="AA25" i="116" s="1"/>
  <c r="AA24" i="116" s="1"/>
  <c r="AA26" i="116" s="1"/>
  <c r="AA14" i="116"/>
  <c r="AA15" i="116" s="1"/>
  <c r="AA13" i="116"/>
  <c r="AA6" i="116"/>
  <c r="AC3" i="113"/>
  <c r="AB8" i="113"/>
  <c r="AB2" i="113"/>
  <c r="AB34" i="113"/>
  <c r="K8" i="122"/>
  <c r="J6" i="123" s="1"/>
  <c r="J46" i="109"/>
  <c r="AC3" i="116"/>
  <c r="AB2" i="116"/>
  <c r="Y25" i="116"/>
  <c r="Y24" i="116" s="1"/>
  <c r="M11" i="113"/>
  <c r="O14" i="119"/>
  <c r="O11" i="119"/>
  <c r="N35" i="109"/>
  <c r="N14" i="109"/>
  <c r="N16" i="109" s="1"/>
  <c r="O6" i="122"/>
  <c r="N9" i="113"/>
  <c r="N19" i="119"/>
  <c r="N32" i="109" s="1"/>
  <c r="N25" i="109"/>
  <c r="N27" i="109" s="1"/>
  <c r="Z7" i="116"/>
  <c r="Z8" i="116" s="1"/>
  <c r="Z9" i="116" s="1"/>
  <c r="M28" i="113"/>
  <c r="L39" i="109"/>
  <c r="L12" i="113"/>
  <c r="L13" i="113" s="1"/>
  <c r="Z25" i="116"/>
  <c r="Z24" i="116" s="1"/>
  <c r="Z26" i="116" s="1"/>
  <c r="O9" i="109"/>
  <c r="O6" i="113"/>
  <c r="X26" i="116"/>
  <c r="AD3" i="109"/>
  <c r="AC2" i="109"/>
  <c r="L13" i="122"/>
  <c r="K11" i="113"/>
  <c r="K17" i="109"/>
  <c r="Z18" i="119"/>
  <c r="N13" i="122" l="1"/>
  <c r="M39" i="109"/>
  <c r="M43" i="109" s="1"/>
  <c r="AD3" i="122"/>
  <c r="AC39" i="113" s="1"/>
  <c r="AC2" i="122"/>
  <c r="K7" i="123"/>
  <c r="L16" i="122"/>
  <c r="K33" i="113"/>
  <c r="AE3" i="109"/>
  <c r="AD2" i="109"/>
  <c r="L43" i="109"/>
  <c r="L20" i="113"/>
  <c r="N17" i="113"/>
  <c r="N28" i="113"/>
  <c r="O19" i="119"/>
  <c r="O32" i="109" s="1"/>
  <c r="O25" i="109"/>
  <c r="O27" i="109" s="1"/>
  <c r="AB6" i="116"/>
  <c r="AB14" i="116"/>
  <c r="AB15" i="116" s="1"/>
  <c r="AB20" i="116"/>
  <c r="AB19" i="116" s="1"/>
  <c r="AB13" i="116"/>
  <c r="AD3" i="113"/>
  <c r="AC2" i="113"/>
  <c r="AC8" i="113"/>
  <c r="AC34" i="113"/>
  <c r="AA9" i="119"/>
  <c r="AA17" i="119" s="1"/>
  <c r="AA7" i="119"/>
  <c r="AA15" i="119" s="1"/>
  <c r="AA21" i="109" s="1"/>
  <c r="AA23" i="109" s="1"/>
  <c r="N37" i="109"/>
  <c r="N18" i="113" s="1"/>
  <c r="P9" i="109"/>
  <c r="P6" i="113"/>
  <c r="Y30" i="116"/>
  <c r="Z38" i="116" s="1"/>
  <c r="Z39" i="116" s="1"/>
  <c r="Z29" i="109"/>
  <c r="R31" i="116"/>
  <c r="Q7" i="109"/>
  <c r="Q7" i="113" s="1"/>
  <c r="R34" i="116"/>
  <c r="R35" i="116" s="1"/>
  <c r="R42" i="116" s="1"/>
  <c r="P14" i="119"/>
  <c r="P11" i="119"/>
  <c r="I24" i="122"/>
  <c r="H30" i="113"/>
  <c r="H29" i="113" s="1"/>
  <c r="Z16" i="113"/>
  <c r="Q6" i="119"/>
  <c r="Q12" i="109"/>
  <c r="Q5" i="109"/>
  <c r="Q6" i="109" s="1"/>
  <c r="Q43" i="116"/>
  <c r="Q8" i="119"/>
  <c r="Q16" i="119" s="1"/>
  <c r="Q13" i="109" s="1"/>
  <c r="K39" i="109"/>
  <c r="K12" i="113"/>
  <c r="K13" i="113" s="1"/>
  <c r="P6" i="122"/>
  <c r="O14" i="109"/>
  <c r="O16" i="109" s="1"/>
  <c r="O35" i="109"/>
  <c r="O9" i="113"/>
  <c r="AC2" i="116"/>
  <c r="AD3" i="116"/>
  <c r="Z30" i="116"/>
  <c r="AA38" i="116" s="1"/>
  <c r="AA39" i="116" s="1"/>
  <c r="M7" i="123"/>
  <c r="N16" i="122"/>
  <c r="M33" i="113"/>
  <c r="AA16" i="116"/>
  <c r="AB2" i="119"/>
  <c r="AB18" i="119" s="1"/>
  <c r="AC3" i="119"/>
  <c r="AB10" i="119"/>
  <c r="M16" i="122"/>
  <c r="L7" i="123"/>
  <c r="L33" i="113"/>
  <c r="N11" i="113"/>
  <c r="AA7" i="116"/>
  <c r="AA8" i="116" s="1"/>
  <c r="AA9" i="116" s="1"/>
  <c r="AA10" i="116" s="1"/>
  <c r="AC22" i="109"/>
  <c r="AC34" i="109"/>
  <c r="AC33" i="109"/>
  <c r="AC26" i="109"/>
  <c r="Z10" i="116"/>
  <c r="N17" i="109"/>
  <c r="O31" i="109"/>
  <c r="O30" i="109"/>
  <c r="Y26" i="116"/>
  <c r="J22" i="113"/>
  <c r="J48" i="109"/>
  <c r="AA18" i="119"/>
  <c r="I41" i="113"/>
  <c r="J22" i="122"/>
  <c r="AE3" i="123"/>
  <c r="AD2" i="123"/>
  <c r="I19" i="123"/>
  <c r="AB23" i="116"/>
  <c r="AC23" i="116" s="1"/>
  <c r="AD23" i="116" l="1"/>
  <c r="M20" i="113"/>
  <c r="AB16" i="116"/>
  <c r="AD2" i="122"/>
  <c r="AE3" i="122"/>
  <c r="AD39" i="113" s="1"/>
  <c r="O37" i="109"/>
  <c r="O18" i="113" s="1"/>
  <c r="O28" i="113"/>
  <c r="P31" i="109"/>
  <c r="P30" i="109"/>
  <c r="O17" i="113"/>
  <c r="N38" i="109"/>
  <c r="N39" i="109" s="1"/>
  <c r="AE2" i="109"/>
  <c r="AF3" i="109"/>
  <c r="Q9" i="109"/>
  <c r="Q6" i="113"/>
  <c r="P25" i="109"/>
  <c r="P27" i="109" s="1"/>
  <c r="P19" i="119"/>
  <c r="P32" i="109" s="1"/>
  <c r="AA16" i="113"/>
  <c r="AB22" i="116"/>
  <c r="AB25" i="116" s="1"/>
  <c r="AB24" i="116" s="1"/>
  <c r="AB26" i="116" s="1"/>
  <c r="L46" i="109"/>
  <c r="J5" i="122"/>
  <c r="AC2" i="119"/>
  <c r="AC18" i="119" s="1"/>
  <c r="AD3" i="119"/>
  <c r="AC10" i="119"/>
  <c r="AF3" i="123"/>
  <c r="AE2" i="123"/>
  <c r="M36" i="113"/>
  <c r="M35" i="113" s="1"/>
  <c r="AE3" i="116"/>
  <c r="AD2" i="116"/>
  <c r="O11" i="113"/>
  <c r="M46" i="109"/>
  <c r="S31" i="116"/>
  <c r="R7" i="109"/>
  <c r="R7" i="113" s="1"/>
  <c r="S34" i="116"/>
  <c r="S35" i="116" s="1"/>
  <c r="S42" i="116" s="1"/>
  <c r="P35" i="109"/>
  <c r="P14" i="109"/>
  <c r="P16" i="109" s="1"/>
  <c r="P17" i="109" s="1"/>
  <c r="Q6" i="122"/>
  <c r="P9" i="113"/>
  <c r="AA29" i="109"/>
  <c r="K36" i="113"/>
  <c r="K35" i="113" s="1"/>
  <c r="N12" i="113"/>
  <c r="N13" i="113" s="1"/>
  <c r="L36" i="113"/>
  <c r="L35" i="113" s="1"/>
  <c r="J5" i="123"/>
  <c r="J23" i="113"/>
  <c r="K20" i="122"/>
  <c r="AA30" i="116"/>
  <c r="AB38" i="116" s="1"/>
  <c r="AB39" i="116" s="1"/>
  <c r="AB7" i="119"/>
  <c r="AB15" i="119" s="1"/>
  <c r="AB21" i="109" s="1"/>
  <c r="AB23" i="109" s="1"/>
  <c r="AB9" i="119"/>
  <c r="AB17" i="119" s="1"/>
  <c r="AB29" i="109" s="1"/>
  <c r="AC6" i="116"/>
  <c r="AC14" i="116"/>
  <c r="AC15" i="116" s="1"/>
  <c r="AC20" i="116"/>
  <c r="AC19" i="116" s="1"/>
  <c r="AC13" i="116"/>
  <c r="O17" i="109"/>
  <c r="K43" i="109"/>
  <c r="K20" i="113"/>
  <c r="Q14" i="119"/>
  <c r="Q11" i="119"/>
  <c r="R12" i="109"/>
  <c r="R6" i="119"/>
  <c r="R5" i="109"/>
  <c r="R6" i="109" s="1"/>
  <c r="R8" i="119"/>
  <c r="R16" i="119" s="1"/>
  <c r="R13" i="109" s="1"/>
  <c r="R43" i="116"/>
  <c r="AE3" i="113"/>
  <c r="AD8" i="113"/>
  <c r="AD2" i="113"/>
  <c r="AB7" i="116"/>
  <c r="AB8" i="116" s="1"/>
  <c r="AB9" i="116" s="1"/>
  <c r="AD26" i="109"/>
  <c r="AD33" i="109"/>
  <c r="AD34" i="109"/>
  <c r="AD22" i="109"/>
  <c r="AD34" i="113" l="1"/>
  <c r="AE2" i="122"/>
  <c r="AF3" i="122"/>
  <c r="AE39" i="113" s="1"/>
  <c r="O38" i="109"/>
  <c r="O39" i="109" s="1"/>
  <c r="P37" i="109"/>
  <c r="P18" i="113" s="1"/>
  <c r="AE2" i="113"/>
  <c r="AF3" i="113"/>
  <c r="AE8" i="113"/>
  <c r="K21" i="122"/>
  <c r="J40" i="113"/>
  <c r="M22" i="113"/>
  <c r="M48" i="109"/>
  <c r="AD6" i="116"/>
  <c r="AD13" i="116"/>
  <c r="AD14" i="116"/>
  <c r="AD15" i="116" s="1"/>
  <c r="AD20" i="116"/>
  <c r="AD19" i="116" s="1"/>
  <c r="AD22" i="116" s="1"/>
  <c r="AD25" i="116" s="1"/>
  <c r="AD24" i="116" s="1"/>
  <c r="AD26" i="116" s="1"/>
  <c r="L22" i="113"/>
  <c r="L48" i="109"/>
  <c r="AE22" i="109"/>
  <c r="AE34" i="109"/>
  <c r="AE26" i="109"/>
  <c r="AE33" i="109"/>
  <c r="AB30" i="116"/>
  <c r="AC38" i="116" s="1"/>
  <c r="AC39" i="116" s="1"/>
  <c r="Q31" i="109"/>
  <c r="Q30" i="109"/>
  <c r="K46" i="109"/>
  <c r="L8" i="122"/>
  <c r="P11" i="113"/>
  <c r="AC22" i="116"/>
  <c r="AC25" i="116" s="1"/>
  <c r="AC24" i="116" s="1"/>
  <c r="AC26" i="116" s="1"/>
  <c r="R9" i="109"/>
  <c r="R6" i="113"/>
  <c r="Q19" i="119"/>
  <c r="Q32" i="109" s="1"/>
  <c r="Q25" i="109"/>
  <c r="Q27" i="109" s="1"/>
  <c r="AB16" i="113"/>
  <c r="AF3" i="116"/>
  <c r="AE2" i="116"/>
  <c r="AF2" i="123"/>
  <c r="AG3" i="123"/>
  <c r="AC9" i="119"/>
  <c r="AC17" i="119" s="1"/>
  <c r="AC29" i="109" s="1"/>
  <c r="AC7" i="119"/>
  <c r="AC15" i="119" s="1"/>
  <c r="AC21" i="109" s="1"/>
  <c r="AC23" i="109" s="1"/>
  <c r="Q35" i="109"/>
  <c r="Q14" i="109"/>
  <c r="Q16" i="109" s="1"/>
  <c r="Q17" i="109" s="1"/>
  <c r="R6" i="122"/>
  <c r="Q9" i="113"/>
  <c r="N19" i="113"/>
  <c r="O13" i="122"/>
  <c r="J10" i="122"/>
  <c r="I27" i="113"/>
  <c r="R14" i="119"/>
  <c r="R11" i="119"/>
  <c r="O12" i="113"/>
  <c r="O13" i="113" s="1"/>
  <c r="AC7" i="116"/>
  <c r="AC8" i="116" s="1"/>
  <c r="AC9" i="116" s="1"/>
  <c r="P12" i="113"/>
  <c r="P13" i="113" s="1"/>
  <c r="T31" i="116"/>
  <c r="S7" i="109"/>
  <c r="S7" i="113" s="1"/>
  <c r="T34" i="116"/>
  <c r="T35" i="116" s="1"/>
  <c r="T42" i="116" s="1"/>
  <c r="AB10" i="116"/>
  <c r="AC16" i="116"/>
  <c r="J8" i="123"/>
  <c r="N43" i="109"/>
  <c r="N20" i="113"/>
  <c r="P28" i="113"/>
  <c r="S12" i="109"/>
  <c r="S5" i="109"/>
  <c r="S6" i="109" s="1"/>
  <c r="S6" i="119"/>
  <c r="S8" i="119"/>
  <c r="S16" i="119" s="1"/>
  <c r="S13" i="109" s="1"/>
  <c r="S43" i="116"/>
  <c r="AE3" i="119"/>
  <c r="AD2" i="119"/>
  <c r="AD18" i="119" s="1"/>
  <c r="AD10" i="119"/>
  <c r="P17" i="113"/>
  <c r="AG3" i="109"/>
  <c r="AF2" i="109"/>
  <c r="AE34" i="113" l="1"/>
  <c r="P38" i="109"/>
  <c r="P19" i="113" s="1"/>
  <c r="O19" i="113"/>
  <c r="P13" i="122"/>
  <c r="O7" i="123" s="1"/>
  <c r="AF2" i="122"/>
  <c r="AG3" i="122"/>
  <c r="AF34" i="113" s="1"/>
  <c r="Q37" i="109"/>
  <c r="Q18" i="113" s="1"/>
  <c r="J19" i="123"/>
  <c r="T12" i="109"/>
  <c r="T5" i="109"/>
  <c r="T6" i="109" s="1"/>
  <c r="T6" i="119"/>
  <c r="T43" i="116"/>
  <c r="T8" i="119"/>
  <c r="T16" i="119" s="1"/>
  <c r="T13" i="109" s="1"/>
  <c r="AC30" i="116"/>
  <c r="AD38" i="116" s="1"/>
  <c r="AD39" i="116" s="1"/>
  <c r="R25" i="109"/>
  <c r="R27" i="109" s="1"/>
  <c r="R19" i="119"/>
  <c r="R32" i="109" s="1"/>
  <c r="Q28" i="113"/>
  <c r="R35" i="109"/>
  <c r="S6" i="122"/>
  <c r="R14" i="109"/>
  <c r="R16" i="109" s="1"/>
  <c r="R17" i="109" s="1"/>
  <c r="R9" i="113"/>
  <c r="M5" i="123"/>
  <c r="M23" i="113"/>
  <c r="AE23" i="116"/>
  <c r="AF23" i="116" s="1"/>
  <c r="N7" i="123"/>
  <c r="O16" i="122"/>
  <c r="N33" i="113"/>
  <c r="Q12" i="113"/>
  <c r="Q13" i="113" s="1"/>
  <c r="AC16" i="113"/>
  <c r="AE13" i="116"/>
  <c r="AE20" i="116"/>
  <c r="AE19" i="116" s="1"/>
  <c r="AE6" i="116"/>
  <c r="AE14" i="116"/>
  <c r="AE15" i="116" s="1"/>
  <c r="Q17" i="113"/>
  <c r="Q38" i="109"/>
  <c r="Q19" i="113" s="1"/>
  <c r="J41" i="113"/>
  <c r="K22" i="122"/>
  <c r="AF2" i="113"/>
  <c r="AG3" i="113"/>
  <c r="AF8" i="113"/>
  <c r="AF39" i="113"/>
  <c r="S11" i="119"/>
  <c r="S14" i="119"/>
  <c r="AD7" i="119"/>
  <c r="AD15" i="119" s="1"/>
  <c r="AD21" i="109" s="1"/>
  <c r="AD23" i="109" s="1"/>
  <c r="AD9" i="119"/>
  <c r="AD17" i="119" s="1"/>
  <c r="AD29" i="109" s="1"/>
  <c r="S9" i="109"/>
  <c r="S6" i="113"/>
  <c r="N46" i="109"/>
  <c r="O43" i="109"/>
  <c r="O20" i="113"/>
  <c r="Q11" i="113"/>
  <c r="AG3" i="116"/>
  <c r="AF2" i="116"/>
  <c r="K6" i="123"/>
  <c r="M8" i="122"/>
  <c r="L5" i="123"/>
  <c r="L23" i="113"/>
  <c r="AD16" i="116"/>
  <c r="AH3" i="109"/>
  <c r="AG2" i="109"/>
  <c r="AF26" i="109"/>
  <c r="AF33" i="109"/>
  <c r="AF34" i="109"/>
  <c r="AF22" i="109"/>
  <c r="AE2" i="119"/>
  <c r="AE18" i="119" s="1"/>
  <c r="AF3" i="119"/>
  <c r="AE10" i="119"/>
  <c r="U31" i="116"/>
  <c r="T7" i="109"/>
  <c r="T7" i="113" s="1"/>
  <c r="U34" i="116"/>
  <c r="U35" i="116" s="1"/>
  <c r="U42" i="116" s="1"/>
  <c r="AC10" i="116"/>
  <c r="R30" i="109"/>
  <c r="R31" i="109"/>
  <c r="J24" i="122"/>
  <c r="I30" i="113"/>
  <c r="I29" i="113" s="1"/>
  <c r="AG2" i="123"/>
  <c r="AH3" i="123"/>
  <c r="K22" i="113"/>
  <c r="K48" i="109"/>
  <c r="AD7" i="116"/>
  <c r="AD8" i="116" s="1"/>
  <c r="AD9" i="116" s="1"/>
  <c r="P39" i="109" l="1"/>
  <c r="Q13" i="122"/>
  <c r="Q16" i="122" s="1"/>
  <c r="AE16" i="116"/>
  <c r="R13" i="122"/>
  <c r="O33" i="113"/>
  <c r="P16" i="122"/>
  <c r="O36" i="113" s="1"/>
  <c r="AH3" i="122"/>
  <c r="AG2" i="122"/>
  <c r="R37" i="109"/>
  <c r="R18" i="113" s="1"/>
  <c r="Q39" i="109"/>
  <c r="Q20" i="113" s="1"/>
  <c r="AD30" i="116"/>
  <c r="AE38" i="116" s="1"/>
  <c r="AE39" i="116" s="1"/>
  <c r="AF2" i="119"/>
  <c r="AF18" i="119" s="1"/>
  <c r="AF10" i="119"/>
  <c r="AG3" i="119"/>
  <c r="AF20" i="116"/>
  <c r="AF19" i="116" s="1"/>
  <c r="AF6" i="116"/>
  <c r="AF14" i="116"/>
  <c r="AF15" i="116" s="1"/>
  <c r="AF13" i="116"/>
  <c r="S31" i="109"/>
  <c r="S30" i="109"/>
  <c r="AG23" i="116"/>
  <c r="R12" i="113"/>
  <c r="R13" i="113" s="1"/>
  <c r="AD10" i="116"/>
  <c r="P33" i="113"/>
  <c r="V31" i="116"/>
  <c r="U7" i="109"/>
  <c r="U7" i="113" s="1"/>
  <c r="V34" i="116"/>
  <c r="V35" i="116" s="1"/>
  <c r="V42" i="116" s="1"/>
  <c r="AG22" i="109"/>
  <c r="AG26" i="109"/>
  <c r="AG34" i="109"/>
  <c r="AG33" i="109"/>
  <c r="AH3" i="116"/>
  <c r="AG2" i="116"/>
  <c r="N22" i="113"/>
  <c r="N48" i="109"/>
  <c r="S14" i="109"/>
  <c r="S16" i="109" s="1"/>
  <c r="S17" i="109" s="1"/>
  <c r="S35" i="109"/>
  <c r="T6" i="122"/>
  <c r="S9" i="113"/>
  <c r="P43" i="109"/>
  <c r="P20" i="113"/>
  <c r="R17" i="113"/>
  <c r="K5" i="123"/>
  <c r="K23" i="113"/>
  <c r="L20" i="122"/>
  <c r="AI3" i="123"/>
  <c r="AH2" i="123"/>
  <c r="U5" i="109"/>
  <c r="U6" i="109" s="1"/>
  <c r="U6" i="119"/>
  <c r="U12" i="109"/>
  <c r="U8" i="119"/>
  <c r="U16" i="119" s="1"/>
  <c r="U13" i="109" s="1"/>
  <c r="U43" i="116"/>
  <c r="AE9" i="119"/>
  <c r="AE17" i="119" s="1"/>
  <c r="AE29" i="109" s="1"/>
  <c r="AE7" i="119"/>
  <c r="AE15" i="119" s="1"/>
  <c r="AE21" i="109" s="1"/>
  <c r="AE23" i="109" s="1"/>
  <c r="AI3" i="109"/>
  <c r="AH2" i="109"/>
  <c r="L6" i="123"/>
  <c r="L8" i="123" s="1"/>
  <c r="L19" i="123" s="1"/>
  <c r="N8" i="122"/>
  <c r="O46" i="109"/>
  <c r="AD16" i="113"/>
  <c r="AE7" i="116"/>
  <c r="AE8" i="116" s="1"/>
  <c r="AE9" i="116" s="1"/>
  <c r="AE10" i="116" s="1"/>
  <c r="N36" i="113"/>
  <c r="N35" i="113" s="1"/>
  <c r="R11" i="113"/>
  <c r="T14" i="119"/>
  <c r="T11" i="119"/>
  <c r="K5" i="122"/>
  <c r="S25" i="109"/>
  <c r="S27" i="109" s="1"/>
  <c r="S19" i="119"/>
  <c r="S32" i="109" s="1"/>
  <c r="AG2" i="113"/>
  <c r="AH3" i="113"/>
  <c r="AG8" i="113"/>
  <c r="AG34" i="113"/>
  <c r="AG39" i="113"/>
  <c r="AE22" i="116"/>
  <c r="AE25" i="116" s="1"/>
  <c r="AE24" i="116" s="1"/>
  <c r="AE26" i="116" s="1"/>
  <c r="R28" i="113"/>
  <c r="T9" i="109"/>
  <c r="T6" i="113"/>
  <c r="P7" i="123" l="1"/>
  <c r="Q7" i="123"/>
  <c r="Q33" i="113"/>
  <c r="R16" i="122"/>
  <c r="R38" i="109"/>
  <c r="R19" i="113" s="1"/>
  <c r="O35" i="113"/>
  <c r="Q43" i="109"/>
  <c r="Q46" i="109" s="1"/>
  <c r="AH2" i="122"/>
  <c r="AI3" i="122"/>
  <c r="AH39" i="113" s="1"/>
  <c r="L21" i="122"/>
  <c r="M20" i="122"/>
  <c r="K40" i="113"/>
  <c r="AI3" i="113"/>
  <c r="AH2" i="113"/>
  <c r="AH8" i="113"/>
  <c r="T31" i="109"/>
  <c r="T30" i="109"/>
  <c r="AJ3" i="109"/>
  <c r="AI2" i="109"/>
  <c r="U9" i="109"/>
  <c r="U6" i="113"/>
  <c r="P46" i="109"/>
  <c r="S12" i="113"/>
  <c r="S13" i="113" s="1"/>
  <c r="Q36" i="113"/>
  <c r="Q35" i="113" s="1"/>
  <c r="AF7" i="116"/>
  <c r="AF8" i="116" s="1"/>
  <c r="AF9" i="116" s="1"/>
  <c r="U6" i="122"/>
  <c r="T14" i="109"/>
  <c r="T16" i="109" s="1"/>
  <c r="T17" i="109" s="1"/>
  <c r="T35" i="109"/>
  <c r="T9" i="113"/>
  <c r="AE30" i="116"/>
  <c r="AF38" i="116" s="1"/>
  <c r="AF39" i="116" s="1"/>
  <c r="O22" i="113"/>
  <c r="O48" i="109"/>
  <c r="AH34" i="109"/>
  <c r="AH22" i="109"/>
  <c r="AH26" i="109"/>
  <c r="AH33" i="109"/>
  <c r="S28" i="113"/>
  <c r="N5" i="123"/>
  <c r="N23" i="113"/>
  <c r="P36" i="113"/>
  <c r="P35" i="113" s="1"/>
  <c r="T19" i="119"/>
  <c r="T32" i="109" s="1"/>
  <c r="T25" i="109"/>
  <c r="T27" i="109" s="1"/>
  <c r="M6" i="123"/>
  <c r="M8" i="123" s="1"/>
  <c r="M19" i="123" s="1"/>
  <c r="O8" i="122"/>
  <c r="AG13" i="116"/>
  <c r="AG6" i="116"/>
  <c r="AG20" i="116"/>
  <c r="AG19" i="116" s="1"/>
  <c r="AG14" i="116"/>
  <c r="AG15" i="116" s="1"/>
  <c r="W31" i="116"/>
  <c r="V7" i="109"/>
  <c r="V7" i="113" s="1"/>
  <c r="W34" i="116"/>
  <c r="W35" i="116" s="1"/>
  <c r="W42" i="116" s="1"/>
  <c r="S37" i="109"/>
  <c r="S18" i="113" s="1"/>
  <c r="AF22" i="116"/>
  <c r="AF25" i="116" s="1"/>
  <c r="AF24" i="116" s="1"/>
  <c r="AF26" i="116" s="1"/>
  <c r="AF7" i="119"/>
  <c r="AF15" i="119" s="1"/>
  <c r="AF21" i="109" s="1"/>
  <c r="AF23" i="109" s="1"/>
  <c r="AF9" i="119"/>
  <c r="AF17" i="119" s="1"/>
  <c r="AF29" i="109" s="1"/>
  <c r="S17" i="113"/>
  <c r="U11" i="119"/>
  <c r="U14" i="119"/>
  <c r="K10" i="122"/>
  <c r="J27" i="113"/>
  <c r="AE16" i="113"/>
  <c r="AI2" i="123"/>
  <c r="AJ3" i="123"/>
  <c r="K8" i="123"/>
  <c r="S11" i="113"/>
  <c r="AI3" i="116"/>
  <c r="AH2" i="116"/>
  <c r="V12" i="109"/>
  <c r="V6" i="119"/>
  <c r="V5" i="109"/>
  <c r="V6" i="109" s="1"/>
  <c r="V8" i="119"/>
  <c r="V16" i="119" s="1"/>
  <c r="V13" i="109" s="1"/>
  <c r="V43" i="116"/>
  <c r="AF16" i="116"/>
  <c r="AH3" i="119"/>
  <c r="AG2" i="119"/>
  <c r="AG18" i="119" s="1"/>
  <c r="AG10" i="119"/>
  <c r="R39" i="109" l="1"/>
  <c r="S13" i="122"/>
  <c r="R7" i="123" s="1"/>
  <c r="AH34" i="113"/>
  <c r="S38" i="109"/>
  <c r="S19" i="113" s="1"/>
  <c r="AJ3" i="122"/>
  <c r="AI34" i="113" s="1"/>
  <c r="AI2" i="122"/>
  <c r="AF16" i="113"/>
  <c r="AG22" i="116"/>
  <c r="P22" i="113"/>
  <c r="P48" i="109"/>
  <c r="AI22" i="109"/>
  <c r="AI34" i="109"/>
  <c r="AI33" i="109"/>
  <c r="AI26" i="109"/>
  <c r="V11" i="119"/>
  <c r="V14" i="119"/>
  <c r="AJ3" i="116"/>
  <c r="AI2" i="116"/>
  <c r="K19" i="123"/>
  <c r="AG7" i="116"/>
  <c r="AG8" i="116" s="1"/>
  <c r="AG9" i="116" s="1"/>
  <c r="AG10" i="116" s="1"/>
  <c r="T17" i="113"/>
  <c r="T12" i="113"/>
  <c r="T13" i="113" s="1"/>
  <c r="AF30" i="116"/>
  <c r="AG38" i="116" s="1"/>
  <c r="AG39" i="116" s="1"/>
  <c r="R43" i="109"/>
  <c r="R20" i="113"/>
  <c r="AJ2" i="109"/>
  <c r="AK3" i="109"/>
  <c r="AI2" i="113"/>
  <c r="AJ3" i="113"/>
  <c r="AI8" i="113"/>
  <c r="M21" i="122"/>
  <c r="N20" i="122"/>
  <c r="L40" i="113"/>
  <c r="AJ2" i="123"/>
  <c r="AK3" i="123"/>
  <c r="K24" i="122"/>
  <c r="J30" i="113"/>
  <c r="J29" i="113" s="1"/>
  <c r="AG7" i="119"/>
  <c r="AG15" i="119" s="1"/>
  <c r="AG21" i="109" s="1"/>
  <c r="AG23" i="109" s="1"/>
  <c r="AG9" i="119"/>
  <c r="AG17" i="119" s="1"/>
  <c r="AG29" i="109" s="1"/>
  <c r="U19" i="119"/>
  <c r="U32" i="109" s="1"/>
  <c r="U25" i="109"/>
  <c r="U27" i="109" s="1"/>
  <c r="X31" i="116"/>
  <c r="W7" i="109"/>
  <c r="W7" i="113" s="1"/>
  <c r="X34" i="116"/>
  <c r="X35" i="116" s="1"/>
  <c r="X42" i="116" s="1"/>
  <c r="AG16" i="116"/>
  <c r="T11" i="113"/>
  <c r="AF10" i="116"/>
  <c r="T37" i="109"/>
  <c r="T18" i="113" s="1"/>
  <c r="Q22" i="113"/>
  <c r="Q48" i="109"/>
  <c r="K41" i="113"/>
  <c r="L22" i="122"/>
  <c r="AI3" i="119"/>
  <c r="AH10" i="119"/>
  <c r="AH2" i="119"/>
  <c r="AH18" i="119" s="1"/>
  <c r="V9" i="109"/>
  <c r="V6" i="113"/>
  <c r="AH20" i="116"/>
  <c r="AH19" i="116" s="1"/>
  <c r="AH6" i="116"/>
  <c r="AH13" i="116"/>
  <c r="AH14" i="116"/>
  <c r="AH15" i="116" s="1"/>
  <c r="U30" i="109"/>
  <c r="U31" i="109"/>
  <c r="W12" i="109"/>
  <c r="W5" i="109"/>
  <c r="W6" i="109" s="1"/>
  <c r="W6" i="119"/>
  <c r="W8" i="119"/>
  <c r="W16" i="119" s="1"/>
  <c r="W13" i="109" s="1"/>
  <c r="W43" i="116"/>
  <c r="N6" i="123"/>
  <c r="N8" i="123" s="1"/>
  <c r="N19" i="123" s="1"/>
  <c r="P8" i="122"/>
  <c r="O5" i="123"/>
  <c r="O23" i="113"/>
  <c r="T28" i="113"/>
  <c r="U35" i="109"/>
  <c r="V6" i="122"/>
  <c r="U14" i="109"/>
  <c r="U16" i="109" s="1"/>
  <c r="U9" i="113"/>
  <c r="R33" i="113" l="1"/>
  <c r="S16" i="122"/>
  <c r="R36" i="113" s="1"/>
  <c r="AI39" i="113"/>
  <c r="S39" i="109"/>
  <c r="S43" i="109" s="1"/>
  <c r="T13" i="122"/>
  <c r="S7" i="123" s="1"/>
  <c r="AK3" i="122"/>
  <c r="AJ34" i="113" s="1"/>
  <c r="AJ2" i="122"/>
  <c r="AG16" i="113"/>
  <c r="L41" i="113"/>
  <c r="M22" i="122"/>
  <c r="AJ26" i="109"/>
  <c r="AJ34" i="109"/>
  <c r="AJ22" i="109"/>
  <c r="AJ33" i="109"/>
  <c r="T38" i="109"/>
  <c r="AK3" i="116"/>
  <c r="AJ2" i="116"/>
  <c r="AG25" i="116"/>
  <c r="AG24" i="116" s="1"/>
  <c r="AH23" i="116"/>
  <c r="AI23" i="116" s="1"/>
  <c r="AJ23" i="116" s="1"/>
  <c r="U11" i="113"/>
  <c r="T16" i="122"/>
  <c r="V19" i="119"/>
  <c r="V32" i="109" s="1"/>
  <c r="V25" i="109"/>
  <c r="V27" i="109" s="1"/>
  <c r="P5" i="123"/>
  <c r="P23" i="113"/>
  <c r="AH16" i="116"/>
  <c r="W6" i="122"/>
  <c r="V35" i="109"/>
  <c r="V14" i="109"/>
  <c r="V16" i="109" s="1"/>
  <c r="V17" i="109" s="1"/>
  <c r="V9" i="113"/>
  <c r="Y31" i="116"/>
  <c r="X7" i="109"/>
  <c r="X7" i="113" s="1"/>
  <c r="Y34" i="116"/>
  <c r="Y35" i="116" s="1"/>
  <c r="Y42" i="116" s="1"/>
  <c r="L5" i="122"/>
  <c r="V30" i="109"/>
  <c r="V31" i="109"/>
  <c r="Q5" i="123"/>
  <c r="Q23" i="113"/>
  <c r="AI2" i="119"/>
  <c r="AI18" i="119" s="1"/>
  <c r="AI10" i="119"/>
  <c r="AJ3" i="119"/>
  <c r="U28" i="113"/>
  <c r="O6" i="123"/>
  <c r="O8" i="123" s="1"/>
  <c r="O19" i="123" s="1"/>
  <c r="Q8" i="122"/>
  <c r="W14" i="119"/>
  <c r="W11" i="119"/>
  <c r="AH7" i="116"/>
  <c r="AH8" i="116" s="1"/>
  <c r="AH9" i="116" s="1"/>
  <c r="U17" i="109"/>
  <c r="W9" i="109"/>
  <c r="W6" i="113"/>
  <c r="U37" i="109"/>
  <c r="U18" i="113" s="1"/>
  <c r="AH9" i="119"/>
  <c r="AH17" i="119" s="1"/>
  <c r="AH29" i="109" s="1"/>
  <c r="AH7" i="119"/>
  <c r="AH15" i="119" s="1"/>
  <c r="AH21" i="109" s="1"/>
  <c r="AH23" i="109" s="1"/>
  <c r="X12" i="109"/>
  <c r="X5" i="109"/>
  <c r="X6" i="109" s="1"/>
  <c r="X6" i="119"/>
  <c r="X8" i="119"/>
  <c r="X16" i="119" s="1"/>
  <c r="X13" i="109" s="1"/>
  <c r="X43" i="116"/>
  <c r="AH22" i="116"/>
  <c r="U17" i="113"/>
  <c r="AL3" i="123"/>
  <c r="AK2" i="123"/>
  <c r="N21" i="122"/>
  <c r="O20" i="122"/>
  <c r="M40" i="113"/>
  <c r="AK3" i="113"/>
  <c r="AJ2" i="113"/>
  <c r="AJ8" i="113"/>
  <c r="AK2" i="109"/>
  <c r="AL3" i="109"/>
  <c r="R46" i="109"/>
  <c r="AI14" i="116"/>
  <c r="AI15" i="116" s="1"/>
  <c r="AI13" i="116"/>
  <c r="AI20" i="116"/>
  <c r="AI19" i="116" s="1"/>
  <c r="AI6" i="116"/>
  <c r="R35" i="113" l="1"/>
  <c r="S20" i="113"/>
  <c r="AI16" i="116"/>
  <c r="AJ39" i="113"/>
  <c r="AH25" i="116"/>
  <c r="AH24" i="116" s="1"/>
  <c r="AH26" i="116" s="1"/>
  <c r="AG30" i="116"/>
  <c r="AH38" i="116" s="1"/>
  <c r="AH39" i="116" s="1"/>
  <c r="S33" i="113"/>
  <c r="AL3" i="122"/>
  <c r="AK34" i="113" s="1"/>
  <c r="AK2" i="122"/>
  <c r="U38" i="109"/>
  <c r="U19" i="113" s="1"/>
  <c r="AM3" i="123"/>
  <c r="AL2" i="123"/>
  <c r="X9" i="109"/>
  <c r="X6" i="113"/>
  <c r="W35" i="109"/>
  <c r="X6" i="122"/>
  <c r="W14" i="109"/>
  <c r="W16" i="109" s="1"/>
  <c r="W9" i="113"/>
  <c r="Y6" i="119"/>
  <c r="Y12" i="109"/>
  <c r="Y5" i="109"/>
  <c r="Y6" i="109" s="1"/>
  <c r="Y8" i="119"/>
  <c r="Y16" i="119" s="1"/>
  <c r="Y13" i="109" s="1"/>
  <c r="Y43" i="116"/>
  <c r="V12" i="113"/>
  <c r="V13" i="113" s="1"/>
  <c r="V17" i="113"/>
  <c r="S36" i="113"/>
  <c r="T19" i="113"/>
  <c r="T39" i="109"/>
  <c r="U13" i="122"/>
  <c r="O21" i="122"/>
  <c r="P20" i="122"/>
  <c r="N40" i="113"/>
  <c r="U12" i="113"/>
  <c r="U13" i="113" s="1"/>
  <c r="W31" i="109"/>
  <c r="W30" i="109"/>
  <c r="AM3" i="109"/>
  <c r="AL2" i="109"/>
  <c r="M41" i="113"/>
  <c r="N22" i="122"/>
  <c r="V37" i="109"/>
  <c r="V18" i="113" s="1"/>
  <c r="V11" i="113"/>
  <c r="S46" i="109"/>
  <c r="AG26" i="116"/>
  <c r="R22" i="113"/>
  <c r="R48" i="109"/>
  <c r="AI7" i="116"/>
  <c r="AI8" i="116" s="1"/>
  <c r="AI9" i="116" s="1"/>
  <c r="W19" i="119"/>
  <c r="W32" i="109" s="1"/>
  <c r="W25" i="109"/>
  <c r="W27" i="109" s="1"/>
  <c r="AI9" i="119"/>
  <c r="AI17" i="119" s="1"/>
  <c r="AI29" i="109" s="1"/>
  <c r="AI7" i="119"/>
  <c r="AI15" i="119" s="1"/>
  <c r="AI21" i="109" s="1"/>
  <c r="AI23" i="109" s="1"/>
  <c r="AK26" i="109"/>
  <c r="AK34" i="109"/>
  <c r="AK22" i="109"/>
  <c r="AK33" i="109"/>
  <c r="AK8" i="113"/>
  <c r="AK2" i="113"/>
  <c r="AL3" i="113"/>
  <c r="X14" i="119"/>
  <c r="X11" i="119"/>
  <c r="AH16" i="113"/>
  <c r="AH10" i="116"/>
  <c r="P6" i="123"/>
  <c r="P8" i="123" s="1"/>
  <c r="P19" i="123" s="1"/>
  <c r="R8" i="122"/>
  <c r="AK3" i="119"/>
  <c r="AJ10" i="119"/>
  <c r="AJ2" i="119"/>
  <c r="L10" i="122"/>
  <c r="M5" i="122"/>
  <c r="K27" i="113"/>
  <c r="AJ20" i="116"/>
  <c r="AJ19" i="116" s="1"/>
  <c r="AJ6" i="116"/>
  <c r="AJ14" i="116"/>
  <c r="AJ15" i="116" s="1"/>
  <c r="AJ13" i="116"/>
  <c r="Z31" i="116"/>
  <c r="Y7" i="109"/>
  <c r="Y7" i="113" s="1"/>
  <c r="Z34" i="116"/>
  <c r="Z35" i="116" s="1"/>
  <c r="Z42" i="116" s="1"/>
  <c r="V28" i="113"/>
  <c r="AL3" i="116"/>
  <c r="AK2" i="116"/>
  <c r="AI22" i="116"/>
  <c r="AI25" i="116" s="1"/>
  <c r="AI24" i="116" s="1"/>
  <c r="AI26" i="116" s="1"/>
  <c r="AK39" i="113" l="1"/>
  <c r="AH30" i="116"/>
  <c r="AI38" i="116" s="1"/>
  <c r="AI39" i="116" s="1"/>
  <c r="AI30" i="116" s="1"/>
  <c r="AJ38" i="116" s="1"/>
  <c r="AJ39" i="116" s="1"/>
  <c r="S35" i="113"/>
  <c r="V13" i="122"/>
  <c r="U7" i="123" s="1"/>
  <c r="U39" i="109"/>
  <c r="U43" i="109" s="1"/>
  <c r="AM3" i="122"/>
  <c r="AL39" i="113" s="1"/>
  <c r="AL2" i="122"/>
  <c r="X19" i="119"/>
  <c r="X32" i="109" s="1"/>
  <c r="X25" i="109"/>
  <c r="X27" i="109" s="1"/>
  <c r="AM2" i="109"/>
  <c r="AN3" i="109"/>
  <c r="W28" i="113"/>
  <c r="X35" i="109"/>
  <c r="Y6" i="122"/>
  <c r="X14" i="109"/>
  <c r="X16" i="109" s="1"/>
  <c r="X17" i="109" s="1"/>
  <c r="X9" i="113"/>
  <c r="X31" i="109"/>
  <c r="X30" i="109"/>
  <c r="W17" i="113"/>
  <c r="S22" i="113"/>
  <c r="S48" i="109"/>
  <c r="AL34" i="109"/>
  <c r="AL26" i="109"/>
  <c r="AL33" i="109"/>
  <c r="AL22" i="109"/>
  <c r="N41" i="113"/>
  <c r="O22" i="122"/>
  <c r="V38" i="109"/>
  <c r="Y14" i="119"/>
  <c r="Y11" i="119"/>
  <c r="W11" i="113"/>
  <c r="AA31" i="116"/>
  <c r="Z7" i="109"/>
  <c r="Z7" i="113" s="1"/>
  <c r="AA34" i="116"/>
  <c r="AA35" i="116" s="1"/>
  <c r="AA42" i="116" s="1"/>
  <c r="AJ7" i="116"/>
  <c r="AJ8" i="116" s="1"/>
  <c r="AJ9" i="116" s="1"/>
  <c r="M10" i="122"/>
  <c r="N5" i="122"/>
  <c r="L27" i="113"/>
  <c r="AK14" i="116"/>
  <c r="AK15" i="116" s="1"/>
  <c r="AK20" i="116"/>
  <c r="AK19" i="116" s="1"/>
  <c r="AK13" i="116"/>
  <c r="AK6" i="116"/>
  <c r="Z5" i="109"/>
  <c r="Z6" i="109" s="1"/>
  <c r="Z12" i="109"/>
  <c r="Z6" i="119"/>
  <c r="Z8" i="119"/>
  <c r="Z16" i="119" s="1"/>
  <c r="Z13" i="109" s="1"/>
  <c r="Z43" i="116"/>
  <c r="AJ22" i="116"/>
  <c r="L24" i="122"/>
  <c r="K30" i="113"/>
  <c r="K29" i="113" s="1"/>
  <c r="AK2" i="119"/>
  <c r="AK18" i="119" s="1"/>
  <c r="AL3" i="119"/>
  <c r="AK10" i="119"/>
  <c r="AL8" i="113"/>
  <c r="AM3" i="113"/>
  <c r="AL2" i="113"/>
  <c r="AL34" i="113"/>
  <c r="AI16" i="113"/>
  <c r="R5" i="123"/>
  <c r="R23" i="113"/>
  <c r="W37" i="109"/>
  <c r="W18" i="113" s="1"/>
  <c r="T7" i="123"/>
  <c r="U16" i="122"/>
  <c r="T33" i="113"/>
  <c r="Y9" i="109"/>
  <c r="Y6" i="113"/>
  <c r="W17" i="109"/>
  <c r="AJ7" i="119"/>
  <c r="AJ15" i="119" s="1"/>
  <c r="AJ21" i="109" s="1"/>
  <c r="AJ23" i="109" s="1"/>
  <c r="AJ9" i="119"/>
  <c r="AJ17" i="119" s="1"/>
  <c r="AM3" i="116"/>
  <c r="AL2" i="116"/>
  <c r="AJ16" i="116"/>
  <c r="U33" i="113"/>
  <c r="AJ18" i="119"/>
  <c r="Q6" i="123"/>
  <c r="Q8" i="123" s="1"/>
  <c r="Q19" i="123" s="1"/>
  <c r="S8" i="122"/>
  <c r="AI10" i="116"/>
  <c r="P21" i="122"/>
  <c r="Q20" i="122"/>
  <c r="O40" i="113"/>
  <c r="T43" i="109"/>
  <c r="T20" i="113"/>
  <c r="AM2" i="123"/>
  <c r="AN3" i="123"/>
  <c r="V16" i="122" l="1"/>
  <c r="U20" i="113"/>
  <c r="AK16" i="116"/>
  <c r="AN3" i="122"/>
  <c r="AM2" i="122"/>
  <c r="X37" i="109"/>
  <c r="X18" i="113" s="1"/>
  <c r="T46" i="109"/>
  <c r="AJ16" i="113"/>
  <c r="AL2" i="119"/>
  <c r="AL18" i="119" s="1"/>
  <c r="AM3" i="119"/>
  <c r="AL10" i="119"/>
  <c r="AK7" i="116"/>
  <c r="AK8" i="116" s="1"/>
  <c r="AK9" i="116" s="1"/>
  <c r="AB31" i="116"/>
  <c r="AA7" i="109"/>
  <c r="AA7" i="113" s="1"/>
  <c r="AB34" i="116"/>
  <c r="AB35" i="116" s="1"/>
  <c r="AB42" i="116" s="1"/>
  <c r="Y19" i="119"/>
  <c r="Y32" i="109" s="1"/>
  <c r="Y25" i="109"/>
  <c r="Y27" i="109" s="1"/>
  <c r="X28" i="113"/>
  <c r="AO3" i="109"/>
  <c r="AN2" i="109"/>
  <c r="AJ29" i="109"/>
  <c r="R20" i="122"/>
  <c r="Q21" i="122"/>
  <c r="P40" i="113"/>
  <c r="U36" i="113"/>
  <c r="U35" i="113" s="1"/>
  <c r="AN3" i="116"/>
  <c r="AM2" i="116"/>
  <c r="W12" i="113"/>
  <c r="W13" i="113" s="1"/>
  <c r="Y14" i="109"/>
  <c r="Y16" i="109" s="1"/>
  <c r="Y17" i="109" s="1"/>
  <c r="Y35" i="109"/>
  <c r="Z6" i="122"/>
  <c r="Y9" i="113"/>
  <c r="AN3" i="113"/>
  <c r="AM8" i="113"/>
  <c r="AM2" i="113"/>
  <c r="AM34" i="113"/>
  <c r="AJ25" i="116"/>
  <c r="AJ24" i="116" s="1"/>
  <c r="AK23" i="116"/>
  <c r="AL23" i="116" s="1"/>
  <c r="AM23" i="116" s="1"/>
  <c r="Z14" i="119"/>
  <c r="Z11" i="119"/>
  <c r="N10" i="122"/>
  <c r="O5" i="122"/>
  <c r="M27" i="113"/>
  <c r="AJ10" i="116"/>
  <c r="AA5" i="109"/>
  <c r="AA6" i="109" s="1"/>
  <c r="AA12" i="109"/>
  <c r="AA6" i="119"/>
  <c r="AA43" i="116"/>
  <c r="AA8" i="119"/>
  <c r="AA16" i="119" s="1"/>
  <c r="AA13" i="109" s="1"/>
  <c r="V19" i="113"/>
  <c r="V39" i="109"/>
  <c r="W13" i="122"/>
  <c r="X12" i="113"/>
  <c r="X13" i="113" s="1"/>
  <c r="AM26" i="109"/>
  <c r="AM33" i="109"/>
  <c r="AM22" i="109"/>
  <c r="AM34" i="109"/>
  <c r="T36" i="113"/>
  <c r="T35" i="113" s="1"/>
  <c r="AL6" i="116"/>
  <c r="AL13" i="116"/>
  <c r="AL20" i="116"/>
  <c r="AL19" i="116" s="1"/>
  <c r="AL14" i="116"/>
  <c r="AL15" i="116" s="1"/>
  <c r="R6" i="123"/>
  <c r="R8" i="123" s="1"/>
  <c r="R19" i="123" s="1"/>
  <c r="T8" i="122"/>
  <c r="S6" i="123" s="1"/>
  <c r="AO3" i="123"/>
  <c r="AN2" i="123"/>
  <c r="O41" i="113"/>
  <c r="P22" i="122"/>
  <c r="AK9" i="119"/>
  <c r="AK17" i="119" s="1"/>
  <c r="AK29" i="109" s="1"/>
  <c r="AK7" i="119"/>
  <c r="AK15" i="119" s="1"/>
  <c r="AK21" i="109" s="1"/>
  <c r="AK23" i="109" s="1"/>
  <c r="AK22" i="116"/>
  <c r="M24" i="122"/>
  <c r="L30" i="113"/>
  <c r="L29" i="113" s="1"/>
  <c r="S5" i="123"/>
  <c r="S23" i="113"/>
  <c r="W38" i="109"/>
  <c r="W39" i="109" s="1"/>
  <c r="X17" i="113"/>
  <c r="Z9" i="109"/>
  <c r="Z6" i="113"/>
  <c r="Y31" i="109"/>
  <c r="Y30" i="109"/>
  <c r="X11" i="113"/>
  <c r="U46" i="109"/>
  <c r="AK25" i="116" l="1"/>
  <c r="AK24" i="116" s="1"/>
  <c r="AK26" i="116" s="1"/>
  <c r="AO3" i="122"/>
  <c r="AN39" i="113" s="1"/>
  <c r="AN2" i="122"/>
  <c r="X38" i="109"/>
  <c r="X19" i="113" s="1"/>
  <c r="AM39" i="113"/>
  <c r="S8" i="123"/>
  <c r="S19" i="123" s="1"/>
  <c r="W43" i="109"/>
  <c r="W20" i="113"/>
  <c r="U22" i="113"/>
  <c r="U48" i="109"/>
  <c r="Z14" i="109"/>
  <c r="Z16" i="109" s="1"/>
  <c r="Z35" i="109"/>
  <c r="AA6" i="122"/>
  <c r="Z9" i="113"/>
  <c r="AO2" i="123"/>
  <c r="AP3" i="123"/>
  <c r="Y12" i="113"/>
  <c r="Y13" i="113" s="1"/>
  <c r="P5" i="122"/>
  <c r="O10" i="122"/>
  <c r="N27" i="113"/>
  <c r="Y28" i="113"/>
  <c r="AM2" i="119"/>
  <c r="AM18" i="119" s="1"/>
  <c r="AN3" i="119"/>
  <c r="AM10" i="119"/>
  <c r="AA14" i="119"/>
  <c r="AA11" i="119"/>
  <c r="Z19" i="119"/>
  <c r="Z32" i="109" s="1"/>
  <c r="Z25" i="109"/>
  <c r="Z27" i="109" s="1"/>
  <c r="AL22" i="116"/>
  <c r="AL25" i="116" s="1"/>
  <c r="AL24" i="116" s="1"/>
  <c r="AL26" i="116" s="1"/>
  <c r="AL16" i="116"/>
  <c r="AA9" i="109"/>
  <c r="AA6" i="113"/>
  <c r="N24" i="122"/>
  <c r="M30" i="113"/>
  <c r="M29" i="113" s="1"/>
  <c r="AJ26" i="116"/>
  <c r="AN2" i="113"/>
  <c r="AO3" i="113"/>
  <c r="AN8" i="113"/>
  <c r="AN34" i="113"/>
  <c r="AM14" i="116"/>
  <c r="AM15" i="116" s="1"/>
  <c r="AM20" i="116"/>
  <c r="AM19" i="116" s="1"/>
  <c r="AM13" i="116"/>
  <c r="AM6" i="116"/>
  <c r="AN33" i="109"/>
  <c r="AN26" i="109"/>
  <c r="AN22" i="109"/>
  <c r="AN34" i="109"/>
  <c r="Y17" i="113"/>
  <c r="AC31" i="116"/>
  <c r="AB7" i="109"/>
  <c r="AB7" i="113" s="1"/>
  <c r="AC34" i="116"/>
  <c r="AC35" i="116" s="1"/>
  <c r="AC42" i="116" s="1"/>
  <c r="U8" i="122"/>
  <c r="V43" i="109"/>
  <c r="V20" i="113"/>
  <c r="S20" i="122"/>
  <c r="R21" i="122"/>
  <c r="Q40" i="113"/>
  <c r="AK16" i="113"/>
  <c r="Y37" i="109"/>
  <c r="Y18" i="113" s="1"/>
  <c r="W19" i="113"/>
  <c r="X13" i="122"/>
  <c r="AL7" i="116"/>
  <c r="AL8" i="116" s="1"/>
  <c r="AL9" i="116" s="1"/>
  <c r="V7" i="123"/>
  <c r="W16" i="122"/>
  <c r="V33" i="113"/>
  <c r="Z30" i="109"/>
  <c r="Z31" i="109"/>
  <c r="Y11" i="113"/>
  <c r="AO3" i="116"/>
  <c r="AN2" i="116"/>
  <c r="P41" i="113"/>
  <c r="Q22" i="122"/>
  <c r="AO2" i="109"/>
  <c r="AP3" i="109"/>
  <c r="AB5" i="109"/>
  <c r="AB6" i="109" s="1"/>
  <c r="AB6" i="119"/>
  <c r="AB12" i="109"/>
  <c r="AB8" i="119"/>
  <c r="AB16" i="119" s="1"/>
  <c r="AB13" i="109" s="1"/>
  <c r="AB43" i="116"/>
  <c r="AJ30" i="116"/>
  <c r="AK38" i="116" s="1"/>
  <c r="AK39" i="116" s="1"/>
  <c r="AK30" i="116" s="1"/>
  <c r="AL38" i="116" s="1"/>
  <c r="AL39" i="116" s="1"/>
  <c r="AK10" i="116"/>
  <c r="AL9" i="119"/>
  <c r="AL17" i="119" s="1"/>
  <c r="AL29" i="109" s="1"/>
  <c r="AL7" i="119"/>
  <c r="AL15" i="119" s="1"/>
  <c r="AL21" i="109" s="1"/>
  <c r="AL23" i="109" s="1"/>
  <c r="T22" i="113"/>
  <c r="T48" i="109"/>
  <c r="Y13" i="122" l="1"/>
  <c r="Y16" i="122" s="1"/>
  <c r="X39" i="109"/>
  <c r="X43" i="109" s="1"/>
  <c r="AO2" i="122"/>
  <c r="AP3" i="122"/>
  <c r="AO39" i="113" s="1"/>
  <c r="AL30" i="116"/>
  <c r="AM38" i="116" s="1"/>
  <c r="AM39" i="116" s="1"/>
  <c r="AM22" i="116"/>
  <c r="AD31" i="116"/>
  <c r="AC7" i="109"/>
  <c r="AC7" i="113" s="1"/>
  <c r="AD34" i="116"/>
  <c r="AD35" i="116" s="1"/>
  <c r="AD42" i="116" s="1"/>
  <c r="AA19" i="119"/>
  <c r="AA32" i="109" s="1"/>
  <c r="AA25" i="109"/>
  <c r="AA27" i="109" s="1"/>
  <c r="AN18" i="119"/>
  <c r="AO3" i="119"/>
  <c r="AN10" i="119"/>
  <c r="AN2" i="119"/>
  <c r="Z11" i="113"/>
  <c r="AO2" i="113"/>
  <c r="AP3" i="113"/>
  <c r="AO8" i="113"/>
  <c r="AO34" i="113"/>
  <c r="AL16" i="113"/>
  <c r="V46" i="109"/>
  <c r="T5" i="123"/>
  <c r="T23" i="113"/>
  <c r="AN6" i="116"/>
  <c r="AN14" i="116"/>
  <c r="AN15" i="116" s="1"/>
  <c r="AN20" i="116"/>
  <c r="AN19" i="116" s="1"/>
  <c r="AN13" i="116"/>
  <c r="W7" i="123"/>
  <c r="X16" i="122"/>
  <c r="W33" i="113"/>
  <c r="S21" i="122"/>
  <c r="T20" i="122"/>
  <c r="R40" i="113"/>
  <c r="T6" i="123"/>
  <c r="V8" i="122"/>
  <c r="U6" i="123" s="1"/>
  <c r="AC12" i="109"/>
  <c r="AC6" i="119"/>
  <c r="AC5" i="109"/>
  <c r="AC6" i="109" s="1"/>
  <c r="AC43" i="116"/>
  <c r="AC8" i="119"/>
  <c r="AC16" i="119" s="1"/>
  <c r="AC13" i="109" s="1"/>
  <c r="Y38" i="109"/>
  <c r="AM7" i="116"/>
  <c r="AM8" i="116" s="1"/>
  <c r="AM9" i="116" s="1"/>
  <c r="Z17" i="113"/>
  <c r="O24" i="122"/>
  <c r="N30" i="113"/>
  <c r="N29" i="113" s="1"/>
  <c r="Z28" i="113"/>
  <c r="U5" i="123"/>
  <c r="U23" i="113"/>
  <c r="W46" i="109"/>
  <c r="AB14" i="119"/>
  <c r="AB11" i="119"/>
  <c r="AA31" i="109"/>
  <c r="AA30" i="109"/>
  <c r="AB9" i="109"/>
  <c r="AB6" i="113"/>
  <c r="V36" i="113"/>
  <c r="V35" i="113" s="1"/>
  <c r="AL10" i="116"/>
  <c r="Q41" i="113"/>
  <c r="R22" i="122"/>
  <c r="AQ3" i="109"/>
  <c r="AP2" i="109"/>
  <c r="AO22" i="109"/>
  <c r="AO26" i="109"/>
  <c r="AO34" i="109"/>
  <c r="AO33" i="109"/>
  <c r="AP3" i="116"/>
  <c r="AO2" i="116"/>
  <c r="Z37" i="109"/>
  <c r="Z18" i="113" s="1"/>
  <c r="AM16" i="116"/>
  <c r="AB6" i="122"/>
  <c r="AA14" i="109"/>
  <c r="AA16" i="109" s="1"/>
  <c r="AA17" i="109" s="1"/>
  <c r="AA35" i="109"/>
  <c r="AA9" i="113"/>
  <c r="AM9" i="119"/>
  <c r="AM17" i="119" s="1"/>
  <c r="AM29" i="109" s="1"/>
  <c r="AM7" i="119"/>
  <c r="AM15" i="119" s="1"/>
  <c r="AM21" i="109" s="1"/>
  <c r="AM23" i="109" s="1"/>
  <c r="Q5" i="122"/>
  <c r="P10" i="122"/>
  <c r="O27" i="113"/>
  <c r="AP2" i="123"/>
  <c r="AQ3" i="123"/>
  <c r="Z17" i="109"/>
  <c r="X33" i="113" l="1"/>
  <c r="X7" i="123"/>
  <c r="X20" i="113"/>
  <c r="U8" i="123"/>
  <c r="U19" i="123" s="1"/>
  <c r="AP2" i="122"/>
  <c r="AQ3" i="122"/>
  <c r="AP34" i="113" s="1"/>
  <c r="T8" i="123"/>
  <c r="T19" i="123" s="1"/>
  <c r="Y19" i="113"/>
  <c r="Y39" i="109"/>
  <c r="Z13" i="122"/>
  <c r="AM16" i="113"/>
  <c r="AQ3" i="116"/>
  <c r="AP2" i="116"/>
  <c r="AP22" i="109"/>
  <c r="AP26" i="109"/>
  <c r="AP34" i="109"/>
  <c r="AP33" i="109"/>
  <c r="AB31" i="109"/>
  <c r="AB30" i="109"/>
  <c r="W36" i="113"/>
  <c r="W35" i="113" s="1"/>
  <c r="V22" i="113"/>
  <c r="V48" i="109"/>
  <c r="AO2" i="119"/>
  <c r="AO18" i="119" s="1"/>
  <c r="AP3" i="119"/>
  <c r="AO10" i="119"/>
  <c r="AA28" i="113"/>
  <c r="W22" i="113"/>
  <c r="W48" i="109"/>
  <c r="AC14" i="119"/>
  <c r="AC11" i="119"/>
  <c r="Z12" i="113"/>
  <c r="Z13" i="113" s="1"/>
  <c r="P24" i="122"/>
  <c r="O30" i="113"/>
  <c r="O29" i="113" s="1"/>
  <c r="AA12" i="113"/>
  <c r="AA13" i="113" s="1"/>
  <c r="AB19" i="119"/>
  <c r="AB32" i="109" s="1"/>
  <c r="AB25" i="109"/>
  <c r="AB27" i="109" s="1"/>
  <c r="U20" i="122"/>
  <c r="T21" i="122"/>
  <c r="S40" i="113"/>
  <c r="AN7" i="116"/>
  <c r="AN8" i="116" s="1"/>
  <c r="AN9" i="116" s="1"/>
  <c r="W8" i="122"/>
  <c r="AE31" i="116"/>
  <c r="AD7" i="109"/>
  <c r="AD7" i="113" s="1"/>
  <c r="AE34" i="116"/>
  <c r="AE35" i="116" s="1"/>
  <c r="AE42" i="116" s="1"/>
  <c r="AN22" i="116"/>
  <c r="AO6" i="116"/>
  <c r="AO14" i="116"/>
  <c r="AO15" i="116" s="1"/>
  <c r="AO20" i="116"/>
  <c r="AO19" i="116" s="1"/>
  <c r="AO13" i="116"/>
  <c r="AQ2" i="109"/>
  <c r="AR3" i="109"/>
  <c r="AC6" i="122"/>
  <c r="AB14" i="109"/>
  <c r="AB16" i="109" s="1"/>
  <c r="AB35" i="109"/>
  <c r="AB9" i="113"/>
  <c r="AQ2" i="123"/>
  <c r="AR3" i="123"/>
  <c r="Q10" i="122"/>
  <c r="R5" i="122"/>
  <c r="P27" i="113"/>
  <c r="X36" i="113"/>
  <c r="X35" i="113" s="1"/>
  <c r="AA11" i="113"/>
  <c r="AA37" i="109"/>
  <c r="AA18" i="113" s="1"/>
  <c r="X46" i="109"/>
  <c r="Z38" i="109"/>
  <c r="AM10" i="116"/>
  <c r="AC9" i="109"/>
  <c r="AC6" i="113"/>
  <c r="R41" i="113"/>
  <c r="S22" i="122"/>
  <c r="AN16" i="116"/>
  <c r="AQ3" i="113"/>
  <c r="AP2" i="113"/>
  <c r="AP8" i="113"/>
  <c r="AN7" i="119"/>
  <c r="AN15" i="119" s="1"/>
  <c r="AN21" i="109" s="1"/>
  <c r="AN23" i="109" s="1"/>
  <c r="AN9" i="119"/>
  <c r="AN17" i="119" s="1"/>
  <c r="AN29" i="109" s="1"/>
  <c r="AA17" i="113"/>
  <c r="AD12" i="109"/>
  <c r="AD6" i="119"/>
  <c r="AD5" i="109"/>
  <c r="AD6" i="109" s="1"/>
  <c r="AD43" i="116"/>
  <c r="AD8" i="119"/>
  <c r="AD16" i="119" s="1"/>
  <c r="AD13" i="109" s="1"/>
  <c r="AM25" i="116"/>
  <c r="AM24" i="116" s="1"/>
  <c r="AN23" i="116"/>
  <c r="AO23" i="116" s="1"/>
  <c r="AP23" i="116" s="1"/>
  <c r="AP39" i="113" l="1"/>
  <c r="AO16" i="116"/>
  <c r="AA38" i="109"/>
  <c r="AA19" i="113" s="1"/>
  <c r="AM30" i="116"/>
  <c r="AN38" i="116" s="1"/>
  <c r="AN39" i="116" s="1"/>
  <c r="AR3" i="122"/>
  <c r="AQ39" i="113" s="1"/>
  <c r="AQ2" i="122"/>
  <c r="Q24" i="122"/>
  <c r="P30" i="113"/>
  <c r="P29" i="113" s="1"/>
  <c r="AO7" i="116"/>
  <c r="AO8" i="116" s="1"/>
  <c r="AO9" i="116" s="1"/>
  <c r="AR3" i="116"/>
  <c r="AQ2" i="116"/>
  <c r="AR2" i="123"/>
  <c r="AS3" i="123"/>
  <c r="AB28" i="113"/>
  <c r="AE12" i="109"/>
  <c r="AE6" i="119"/>
  <c r="AE5" i="109"/>
  <c r="AE6" i="109" s="1"/>
  <c r="AE8" i="119"/>
  <c r="AE16" i="119" s="1"/>
  <c r="AE13" i="109" s="1"/>
  <c r="AE43" i="116"/>
  <c r="V6" i="123"/>
  <c r="X8" i="122"/>
  <c r="AC19" i="119"/>
  <c r="AC32" i="109" s="1"/>
  <c r="AC25" i="109"/>
  <c r="AC27" i="109" s="1"/>
  <c r="AO9" i="119"/>
  <c r="AO17" i="119" s="1"/>
  <c r="AO29" i="109" s="1"/>
  <c r="AO7" i="119"/>
  <c r="AO15" i="119" s="1"/>
  <c r="AO21" i="109" s="1"/>
  <c r="AO23" i="109" s="1"/>
  <c r="Y43" i="109"/>
  <c r="Y20" i="113"/>
  <c r="V5" i="123"/>
  <c r="V23" i="113"/>
  <c r="AC35" i="109"/>
  <c r="AC14" i="109"/>
  <c r="AC16" i="109" s="1"/>
  <c r="AD6" i="122"/>
  <c r="AC9" i="113"/>
  <c r="X22" i="113"/>
  <c r="X48" i="109"/>
  <c r="AB11" i="113"/>
  <c r="AF31" i="116"/>
  <c r="AE7" i="109"/>
  <c r="AE7" i="113" s="1"/>
  <c r="AF34" i="116"/>
  <c r="AF35" i="116" s="1"/>
  <c r="AF42" i="116" s="1"/>
  <c r="AB17" i="113"/>
  <c r="AC30" i="109"/>
  <c r="AC31" i="109"/>
  <c r="Y7" i="123"/>
  <c r="Z16" i="122"/>
  <c r="Y33" i="113"/>
  <c r="AD9" i="109"/>
  <c r="AD6" i="113"/>
  <c r="AN16" i="113"/>
  <c r="AQ2" i="113"/>
  <c r="AR3" i="113"/>
  <c r="AQ8" i="113"/>
  <c r="Z19" i="113"/>
  <c r="AA13" i="122"/>
  <c r="AS3" i="109"/>
  <c r="AR2" i="109"/>
  <c r="AO22" i="116"/>
  <c r="AO25" i="116" s="1"/>
  <c r="AO24" i="116" s="1"/>
  <c r="AO26" i="116" s="1"/>
  <c r="S41" i="113"/>
  <c r="T22" i="122"/>
  <c r="W5" i="123"/>
  <c r="W23" i="113"/>
  <c r="AM26" i="116"/>
  <c r="AD14" i="119"/>
  <c r="AD11" i="119"/>
  <c r="R10" i="122"/>
  <c r="S5" i="122"/>
  <c r="Q27" i="113"/>
  <c r="AB17" i="109"/>
  <c r="AQ22" i="109"/>
  <c r="AQ34" i="109"/>
  <c r="AQ33" i="109"/>
  <c r="AQ26" i="109"/>
  <c r="AN25" i="116"/>
  <c r="AN24" i="116" s="1"/>
  <c r="AN10" i="116"/>
  <c r="V20" i="122"/>
  <c r="U21" i="122"/>
  <c r="T40" i="113"/>
  <c r="Z39" i="109"/>
  <c r="AP2" i="119"/>
  <c r="AP10" i="119"/>
  <c r="AQ3" i="119"/>
  <c r="AB37" i="109"/>
  <c r="AB18" i="113" s="1"/>
  <c r="AP14" i="116"/>
  <c r="AP15" i="116" s="1"/>
  <c r="AP6" i="116"/>
  <c r="AP20" i="116"/>
  <c r="AP19" i="116" s="1"/>
  <c r="AP22" i="116" s="1"/>
  <c r="AP25" i="116" s="1"/>
  <c r="AP24" i="116" s="1"/>
  <c r="AP26" i="116" s="1"/>
  <c r="AP13" i="116"/>
  <c r="AB13" i="122" l="1"/>
  <c r="AA33" i="113" s="1"/>
  <c r="AA39" i="109"/>
  <c r="AA43" i="109" s="1"/>
  <c r="AQ34" i="113"/>
  <c r="AS3" i="122"/>
  <c r="AR34" i="113" s="1"/>
  <c r="AR2" i="122"/>
  <c r="AQ23" i="116"/>
  <c r="AR23" i="116" s="1"/>
  <c r="AN30" i="116"/>
  <c r="AO38" i="116" s="1"/>
  <c r="AO39" i="116" s="1"/>
  <c r="AO30" i="116" s="1"/>
  <c r="AP38" i="116" s="1"/>
  <c r="AP39" i="116" s="1"/>
  <c r="X5" i="123"/>
  <c r="X23" i="113"/>
  <c r="AC11" i="113"/>
  <c r="Y46" i="109"/>
  <c r="AE14" i="119"/>
  <c r="AE11" i="119"/>
  <c r="AB12" i="113"/>
  <c r="AB13" i="113" s="1"/>
  <c r="AP16" i="116"/>
  <c r="AN26" i="116"/>
  <c r="AB16" i="122"/>
  <c r="AA7" i="123"/>
  <c r="AS2" i="109"/>
  <c r="AT3" i="109"/>
  <c r="AC37" i="109"/>
  <c r="AC18" i="113" s="1"/>
  <c r="AG31" i="116"/>
  <c r="AF7" i="109"/>
  <c r="AF7" i="113" s="1"/>
  <c r="AG34" i="116"/>
  <c r="AG35" i="116" s="1"/>
  <c r="AG42" i="116" s="1"/>
  <c r="AC17" i="109"/>
  <c r="AC17" i="113"/>
  <c r="AQ14" i="116"/>
  <c r="AQ15" i="116" s="1"/>
  <c r="AQ6" i="116"/>
  <c r="AQ20" i="116"/>
  <c r="AQ19" i="116" s="1"/>
  <c r="AQ22" i="116" s="1"/>
  <c r="AQ25" i="116" s="1"/>
  <c r="AQ24" i="116" s="1"/>
  <c r="AQ26" i="116" s="1"/>
  <c r="AQ13" i="116"/>
  <c r="AO10" i="116"/>
  <c r="AP9" i="119"/>
  <c r="AP17" i="119" s="1"/>
  <c r="AP7" i="119"/>
  <c r="AP15" i="119" s="1"/>
  <c r="AP21" i="109" s="1"/>
  <c r="AP23" i="109" s="1"/>
  <c r="T41" i="113"/>
  <c r="U22" i="122"/>
  <c r="AP18" i="119"/>
  <c r="Z43" i="109"/>
  <c r="Z20" i="113"/>
  <c r="W20" i="122"/>
  <c r="V21" i="122"/>
  <c r="U40" i="113"/>
  <c r="AD30" i="109"/>
  <c r="AD31" i="109"/>
  <c r="AA16" i="122"/>
  <c r="Z7" i="123"/>
  <c r="Z33" i="113"/>
  <c r="AS3" i="113"/>
  <c r="AR2" i="113"/>
  <c r="AR8" i="113"/>
  <c r="Y36" i="113"/>
  <c r="Y35" i="113" s="1"/>
  <c r="AB38" i="109"/>
  <c r="AF6" i="119"/>
  <c r="AF12" i="109"/>
  <c r="AF5" i="109"/>
  <c r="AF6" i="109" s="1"/>
  <c r="AF8" i="119"/>
  <c r="AF16" i="119" s="1"/>
  <c r="AF13" i="109" s="1"/>
  <c r="AF43" i="116"/>
  <c r="V8" i="123"/>
  <c r="V19" i="123" s="1"/>
  <c r="AS2" i="123"/>
  <c r="AT3" i="123"/>
  <c r="AR2" i="116"/>
  <c r="AS3" i="116"/>
  <c r="R24" i="122"/>
  <c r="Q30" i="113"/>
  <c r="Q29" i="113" s="1"/>
  <c r="AR26" i="109"/>
  <c r="AR34" i="109"/>
  <c r="AR22" i="109"/>
  <c r="AR33" i="109"/>
  <c r="AP7" i="116"/>
  <c r="AP8" i="116" s="1"/>
  <c r="AP9" i="116" s="1"/>
  <c r="AP10" i="116" s="1"/>
  <c r="AR3" i="119"/>
  <c r="AQ10" i="119"/>
  <c r="AQ2" i="119"/>
  <c r="AQ18" i="119" s="1"/>
  <c r="T5" i="122"/>
  <c r="S10" i="122"/>
  <c r="R27" i="113"/>
  <c r="AD25" i="109"/>
  <c r="AD27" i="109" s="1"/>
  <c r="AD19" i="119"/>
  <c r="AD32" i="109" s="1"/>
  <c r="AD35" i="109"/>
  <c r="AD14" i="109"/>
  <c r="AD16" i="109" s="1"/>
  <c r="AE6" i="122"/>
  <c r="AD9" i="113"/>
  <c r="AC28" i="113"/>
  <c r="AO16" i="113"/>
  <c r="W6" i="123"/>
  <c r="W8" i="123" s="1"/>
  <c r="W19" i="123" s="1"/>
  <c r="Y8" i="122"/>
  <c r="X6" i="123" s="1"/>
  <c r="AE9" i="109"/>
  <c r="AE6" i="113"/>
  <c r="AR39" i="113" l="1"/>
  <c r="AA20" i="113"/>
  <c r="AP29" i="109"/>
  <c r="AT3" i="122"/>
  <c r="AS34" i="113" s="1"/>
  <c r="AS2" i="122"/>
  <c r="S24" i="122"/>
  <c r="R30" i="113"/>
  <c r="R29" i="113" s="1"/>
  <c r="AA46" i="109"/>
  <c r="AR2" i="119"/>
  <c r="AR18" i="119"/>
  <c r="AS3" i="119"/>
  <c r="AR10" i="119"/>
  <c r="AF11" i="119"/>
  <c r="AF14" i="119"/>
  <c r="AD37" i="109"/>
  <c r="AD18" i="113" s="1"/>
  <c r="AQ7" i="116"/>
  <c r="AQ8" i="116" s="1"/>
  <c r="AQ9" i="116" s="1"/>
  <c r="Y22" i="113"/>
  <c r="Y48" i="109"/>
  <c r="AD28" i="113"/>
  <c r="AT3" i="116"/>
  <c r="AS2" i="116"/>
  <c r="AB19" i="113"/>
  <c r="AC13" i="122"/>
  <c r="AC12" i="113"/>
  <c r="AC13" i="113" s="1"/>
  <c r="AT2" i="109"/>
  <c r="AU3" i="109"/>
  <c r="AA36" i="113"/>
  <c r="AA35" i="113" s="1"/>
  <c r="AE30" i="109"/>
  <c r="AE31" i="109"/>
  <c r="Z8" i="122"/>
  <c r="Y6" i="123" s="1"/>
  <c r="X8" i="123"/>
  <c r="X19" i="123" s="1"/>
  <c r="AD11" i="113"/>
  <c r="AD17" i="113"/>
  <c r="U5" i="122"/>
  <c r="T10" i="122"/>
  <c r="S27" i="113"/>
  <c r="AE35" i="109"/>
  <c r="AE14" i="109"/>
  <c r="AE16" i="109" s="1"/>
  <c r="AE17" i="109" s="1"/>
  <c r="AF6" i="122"/>
  <c r="AE9" i="113"/>
  <c r="AD17" i="109"/>
  <c r="AQ9" i="119"/>
  <c r="AQ17" i="119" s="1"/>
  <c r="AQ29" i="109" s="1"/>
  <c r="AQ7" i="119"/>
  <c r="AQ15" i="119" s="1"/>
  <c r="AQ21" i="109" s="1"/>
  <c r="AQ23" i="109" s="1"/>
  <c r="AP30" i="116"/>
  <c r="AQ38" i="116" s="1"/>
  <c r="AQ39" i="116" s="1"/>
  <c r="AR6" i="116"/>
  <c r="AR20" i="116"/>
  <c r="AR19" i="116" s="1"/>
  <c r="AR14" i="116"/>
  <c r="AR15" i="116" s="1"/>
  <c r="AR13" i="116"/>
  <c r="AF9" i="109"/>
  <c r="AF6" i="113"/>
  <c r="Z36" i="113"/>
  <c r="Z35" i="113" s="1"/>
  <c r="U41" i="113"/>
  <c r="V22" i="122"/>
  <c r="Z46" i="109"/>
  <c r="AQ16" i="116"/>
  <c r="AH31" i="116"/>
  <c r="AG7" i="109"/>
  <c r="AG7" i="113" s="1"/>
  <c r="AH34" i="116"/>
  <c r="AH35" i="116" s="1"/>
  <c r="AH42" i="116" s="1"/>
  <c r="AS34" i="109"/>
  <c r="AS33" i="109"/>
  <c r="AS22" i="109"/>
  <c r="AS26" i="109"/>
  <c r="AB39" i="109"/>
  <c r="AE25" i="109"/>
  <c r="AE27" i="109" s="1"/>
  <c r="AE19" i="119"/>
  <c r="AE32" i="109" s="1"/>
  <c r="AU3" i="123"/>
  <c r="AT2" i="123"/>
  <c r="AS2" i="113"/>
  <c r="AT3" i="113"/>
  <c r="AS8" i="113"/>
  <c r="X20" i="122"/>
  <c r="W21" i="122"/>
  <c r="V40" i="113"/>
  <c r="AP16" i="113"/>
  <c r="AC38" i="109"/>
  <c r="AC39" i="109" s="1"/>
  <c r="AG12" i="109"/>
  <c r="AG6" i="119"/>
  <c r="AG5" i="109"/>
  <c r="AG6" i="109" s="1"/>
  <c r="AG8" i="119"/>
  <c r="AG16" i="119" s="1"/>
  <c r="AG13" i="109" s="1"/>
  <c r="AG43" i="116"/>
  <c r="AS23" i="116"/>
  <c r="AS39" i="113" l="1"/>
  <c r="AD38" i="109"/>
  <c r="AD19" i="113" s="1"/>
  <c r="AA8" i="122"/>
  <c r="Z6" i="123" s="1"/>
  <c r="AT2" i="122"/>
  <c r="AU3" i="122"/>
  <c r="AT39" i="113" s="1"/>
  <c r="AE13" i="122"/>
  <c r="AE16" i="122" s="1"/>
  <c r="AE17" i="113"/>
  <c r="AI31" i="116"/>
  <c r="AH7" i="109"/>
  <c r="AH7" i="113" s="1"/>
  <c r="AI34" i="116"/>
  <c r="AI35" i="116" s="1"/>
  <c r="AI42" i="116" s="1"/>
  <c r="AR16" i="116"/>
  <c r="AE28" i="113"/>
  <c r="T24" i="122"/>
  <c r="S30" i="113"/>
  <c r="S29" i="113" s="1"/>
  <c r="AU2" i="109"/>
  <c r="AV3" i="109"/>
  <c r="AB7" i="123"/>
  <c r="AC16" i="122"/>
  <c r="AB33" i="113"/>
  <c r="AT3" i="119"/>
  <c r="AS2" i="119"/>
  <c r="AS18" i="119" s="1"/>
  <c r="AS10" i="119"/>
  <c r="AA22" i="113"/>
  <c r="AA48" i="109"/>
  <c r="AG11" i="119"/>
  <c r="AG14" i="119"/>
  <c r="AR7" i="116"/>
  <c r="AR8" i="116" s="1"/>
  <c r="AR9" i="116" s="1"/>
  <c r="AR10" i="116" s="1"/>
  <c r="AU3" i="116"/>
  <c r="AT2" i="116"/>
  <c r="AC19" i="113"/>
  <c r="AD13" i="122"/>
  <c r="AU3" i="113"/>
  <c r="AT8" i="113"/>
  <c r="AT2" i="113"/>
  <c r="AB43" i="109"/>
  <c r="AB20" i="113"/>
  <c r="AH12" i="109"/>
  <c r="AH6" i="119"/>
  <c r="AH5" i="109"/>
  <c r="AH6" i="109" s="1"/>
  <c r="AH8" i="119"/>
  <c r="AH16" i="119" s="1"/>
  <c r="AH13" i="109" s="1"/>
  <c r="AH43" i="116"/>
  <c r="AF35" i="109"/>
  <c r="AG6" i="122"/>
  <c r="AF14" i="109"/>
  <c r="AF16" i="109" s="1"/>
  <c r="AF17" i="109" s="1"/>
  <c r="AF9" i="113"/>
  <c r="AD39" i="109"/>
  <c r="AD12" i="113"/>
  <c r="AD13" i="113" s="1"/>
  <c r="AE11" i="113"/>
  <c r="V5" i="122"/>
  <c r="U10" i="122"/>
  <c r="T27" i="113"/>
  <c r="AE37" i="109"/>
  <c r="AE18" i="113" s="1"/>
  <c r="AT26" i="109"/>
  <c r="AT34" i="109"/>
  <c r="AT22" i="109"/>
  <c r="AT33" i="109"/>
  <c r="AQ30" i="116"/>
  <c r="AR38" i="116" s="1"/>
  <c r="AR39" i="116" s="1"/>
  <c r="AF25" i="109"/>
  <c r="AF27" i="109" s="1"/>
  <c r="AF19" i="119"/>
  <c r="AF32" i="109" s="1"/>
  <c r="Y20" i="122"/>
  <c r="X21" i="122"/>
  <c r="W40" i="113"/>
  <c r="AQ16" i="113"/>
  <c r="AE12" i="113"/>
  <c r="AE13" i="113" s="1"/>
  <c r="AC43" i="109"/>
  <c r="AC20" i="113"/>
  <c r="AG9" i="109"/>
  <c r="AG6" i="113"/>
  <c r="V41" i="113"/>
  <c r="W22" i="122"/>
  <c r="AU2" i="123"/>
  <c r="AV3" i="123"/>
  <c r="Z22" i="113"/>
  <c r="Z48" i="109"/>
  <c r="AR22" i="116"/>
  <c r="AR25" i="116" s="1"/>
  <c r="AR24" i="116" s="1"/>
  <c r="AR26" i="116" s="1"/>
  <c r="AS14" i="116"/>
  <c r="AS15" i="116" s="1"/>
  <c r="AS20" i="116"/>
  <c r="AS19" i="116" s="1"/>
  <c r="AS13" i="116"/>
  <c r="AS6" i="116"/>
  <c r="Y5" i="123"/>
  <c r="Y8" i="123" s="1"/>
  <c r="Y19" i="123" s="1"/>
  <c r="Y23" i="113"/>
  <c r="AQ10" i="116"/>
  <c r="AF30" i="109"/>
  <c r="AF31" i="109"/>
  <c r="AR7" i="119"/>
  <c r="AR15" i="119" s="1"/>
  <c r="AR21" i="109" s="1"/>
  <c r="AR23" i="109" s="1"/>
  <c r="AR9" i="119"/>
  <c r="AR17" i="119" s="1"/>
  <c r="AR29" i="109" s="1"/>
  <c r="AB8" i="122"/>
  <c r="AA6" i="123" s="1"/>
  <c r="AT34" i="113" l="1"/>
  <c r="AS16" i="116"/>
  <c r="AD33" i="113"/>
  <c r="AD7" i="123"/>
  <c r="AV3" i="122"/>
  <c r="AU34" i="113" s="1"/>
  <c r="AU2" i="122"/>
  <c r="AF12" i="113"/>
  <c r="AF13" i="113" s="1"/>
  <c r="AD36" i="113"/>
  <c r="V10" i="122"/>
  <c r="W5" i="122"/>
  <c r="U27" i="113"/>
  <c r="AD43" i="109"/>
  <c r="AD20" i="113"/>
  <c r="AF28" i="113"/>
  <c r="AH9" i="109"/>
  <c r="AH6" i="113"/>
  <c r="AB46" i="109"/>
  <c r="AC8" i="122"/>
  <c r="AB6" i="123" s="1"/>
  <c r="AT14" i="116"/>
  <c r="AT15" i="116" s="1"/>
  <c r="AT20" i="116"/>
  <c r="AT19" i="116" s="1"/>
  <c r="AT6" i="116"/>
  <c r="AT13" i="116"/>
  <c r="AV2" i="109"/>
  <c r="AW3" i="109"/>
  <c r="AU34" i="109"/>
  <c r="AU33" i="109"/>
  <c r="AU26" i="109"/>
  <c r="AU22" i="109"/>
  <c r="AJ31" i="116"/>
  <c r="AI7" i="109"/>
  <c r="AI7" i="113" s="1"/>
  <c r="AJ34" i="116"/>
  <c r="AJ35" i="116" s="1"/>
  <c r="AJ42" i="116" s="1"/>
  <c r="W41" i="113"/>
  <c r="X22" i="122"/>
  <c r="AV3" i="113"/>
  <c r="AU8" i="113"/>
  <c r="AU2" i="113"/>
  <c r="AU39" i="113"/>
  <c r="AU2" i="116"/>
  <c r="AV3" i="116"/>
  <c r="AG19" i="119"/>
  <c r="AG32" i="109" s="1"/>
  <c r="AG25" i="109"/>
  <c r="AG27" i="109" s="1"/>
  <c r="AV2" i="123"/>
  <c r="AW3" i="123"/>
  <c r="AC46" i="109"/>
  <c r="Y21" i="122"/>
  <c r="Z20" i="122"/>
  <c r="X40" i="113"/>
  <c r="AC7" i="123"/>
  <c r="AD16" i="122"/>
  <c r="AC33" i="113"/>
  <c r="AG30" i="109"/>
  <c r="AG31" i="109"/>
  <c r="AS9" i="119"/>
  <c r="AS17" i="119" s="1"/>
  <c r="AS29" i="109" s="1"/>
  <c r="AS7" i="119"/>
  <c r="AS15" i="119" s="1"/>
  <c r="AS21" i="109" s="1"/>
  <c r="AS23" i="109" s="1"/>
  <c r="AB36" i="113"/>
  <c r="AB35" i="113" s="1"/>
  <c r="AI5" i="109"/>
  <c r="AI6" i="109" s="1"/>
  <c r="AI12" i="109"/>
  <c r="AI6" i="119"/>
  <c r="AI8" i="119"/>
  <c r="AI16" i="119" s="1"/>
  <c r="AI13" i="109" s="1"/>
  <c r="AI43" i="116"/>
  <c r="AE38" i="109"/>
  <c r="AR16" i="113"/>
  <c r="AS22" i="116"/>
  <c r="AF17" i="113"/>
  <c r="AH14" i="119"/>
  <c r="AH11" i="119"/>
  <c r="AF37" i="109"/>
  <c r="AF18" i="113" s="1"/>
  <c r="AS7" i="116"/>
  <c r="AS8" i="116" s="1"/>
  <c r="AS9" i="116" s="1"/>
  <c r="Z5" i="123"/>
  <c r="Z8" i="123" s="1"/>
  <c r="Z19" i="123" s="1"/>
  <c r="Z23" i="113"/>
  <c r="AH6" i="122"/>
  <c r="AG35" i="109"/>
  <c r="AG14" i="109"/>
  <c r="AG16" i="109" s="1"/>
  <c r="AG17" i="109" s="1"/>
  <c r="AG9" i="113"/>
  <c r="U24" i="122"/>
  <c r="T30" i="113"/>
  <c r="T29" i="113" s="1"/>
  <c r="AF11" i="113"/>
  <c r="AR30" i="116"/>
  <c r="AS38" i="116" s="1"/>
  <c r="AS39" i="116" s="1"/>
  <c r="AA5" i="123"/>
  <c r="AA8" i="123" s="1"/>
  <c r="AA19" i="123" s="1"/>
  <c r="AA23" i="113"/>
  <c r="AT2" i="119"/>
  <c r="AT18" i="119" s="1"/>
  <c r="AU3" i="119"/>
  <c r="AT10" i="119"/>
  <c r="AD35" i="113" l="1"/>
  <c r="AW3" i="122"/>
  <c r="AV39" i="113" s="1"/>
  <c r="AV2" i="122"/>
  <c r="AD8" i="122"/>
  <c r="AC6" i="123" s="1"/>
  <c r="AG28" i="113"/>
  <c r="AH19" i="119"/>
  <c r="AH32" i="109" s="1"/>
  <c r="AH25" i="109"/>
  <c r="AH27" i="109" s="1"/>
  <c r="AW2" i="123"/>
  <c r="AX3" i="123"/>
  <c r="AT7" i="116"/>
  <c r="AT8" i="116" s="1"/>
  <c r="AT9" i="116" s="1"/>
  <c r="AB22" i="113"/>
  <c r="AB48" i="109"/>
  <c r="AI11" i="119"/>
  <c r="AI14" i="119"/>
  <c r="AC36" i="113"/>
  <c r="AC35" i="113" s="1"/>
  <c r="AA20" i="122"/>
  <c r="Z21" i="122"/>
  <c r="Y40" i="113"/>
  <c r="AV2" i="116"/>
  <c r="AW3" i="116"/>
  <c r="AU2" i="119"/>
  <c r="AU18" i="119"/>
  <c r="AV3" i="119"/>
  <c r="AU10" i="119"/>
  <c r="AG11" i="113"/>
  <c r="AS10" i="116"/>
  <c r="AF38" i="109"/>
  <c r="AS25" i="116"/>
  <c r="AS24" i="116" s="1"/>
  <c r="AT23" i="116"/>
  <c r="AU23" i="116" s="1"/>
  <c r="AV23" i="116" s="1"/>
  <c r="AE19" i="113"/>
  <c r="AF13" i="122"/>
  <c r="AE39" i="109"/>
  <c r="AG37" i="109"/>
  <c r="AG18" i="113" s="1"/>
  <c r="X41" i="113"/>
  <c r="Y22" i="122"/>
  <c r="AU20" i="116"/>
  <c r="AU19" i="116" s="1"/>
  <c r="AU14" i="116"/>
  <c r="AU15" i="116" s="1"/>
  <c r="AU13" i="116"/>
  <c r="AU16" i="116" s="1"/>
  <c r="AU6" i="116"/>
  <c r="AW3" i="113"/>
  <c r="AV2" i="113"/>
  <c r="AV34" i="113"/>
  <c r="AV8" i="113"/>
  <c r="AW2" i="109"/>
  <c r="AX3" i="109"/>
  <c r="AT22" i="116"/>
  <c r="W10" i="122"/>
  <c r="X5" i="122"/>
  <c r="V27" i="113"/>
  <c r="AI9" i="109"/>
  <c r="AI6" i="113"/>
  <c r="AS16" i="113"/>
  <c r="AC22" i="113"/>
  <c r="AC48" i="109"/>
  <c r="AG17" i="113"/>
  <c r="AK31" i="116"/>
  <c r="AJ7" i="109"/>
  <c r="AJ7" i="113" s="1"/>
  <c r="AK34" i="116"/>
  <c r="AK35" i="116" s="1"/>
  <c r="AK42" i="116" s="1"/>
  <c r="AV22" i="109"/>
  <c r="AV33" i="109"/>
  <c r="AV34" i="109"/>
  <c r="AV26" i="109"/>
  <c r="AH35" i="109"/>
  <c r="AI6" i="122"/>
  <c r="AH14" i="109"/>
  <c r="AH16" i="109" s="1"/>
  <c r="AH9" i="113"/>
  <c r="AD46" i="109"/>
  <c r="V24" i="122"/>
  <c r="U30" i="113"/>
  <c r="U29" i="113" s="1"/>
  <c r="AT7" i="119"/>
  <c r="AT15" i="119" s="1"/>
  <c r="AT21" i="109" s="1"/>
  <c r="AT23" i="109" s="1"/>
  <c r="AT9" i="119"/>
  <c r="AT17" i="119" s="1"/>
  <c r="AT29" i="109" s="1"/>
  <c r="AG12" i="113"/>
  <c r="AG13" i="113" s="1"/>
  <c r="AH30" i="109"/>
  <c r="AH31" i="109"/>
  <c r="AJ6" i="119"/>
  <c r="AJ5" i="109"/>
  <c r="AJ6" i="109" s="1"/>
  <c r="AJ12" i="109"/>
  <c r="AJ8" i="119"/>
  <c r="AJ16" i="119" s="1"/>
  <c r="AJ13" i="109" s="1"/>
  <c r="AJ43" i="116"/>
  <c r="AT16" i="116"/>
  <c r="AT25" i="116" l="1"/>
  <c r="AT24" i="116" s="1"/>
  <c r="AT26" i="116" s="1"/>
  <c r="AE8" i="122"/>
  <c r="AD6" i="123" s="1"/>
  <c r="AS30" i="116"/>
  <c r="AT38" i="116" s="1"/>
  <c r="AT39" i="116" s="1"/>
  <c r="AX3" i="122"/>
  <c r="AW34" i="113" s="1"/>
  <c r="AW2" i="122"/>
  <c r="AF19" i="113"/>
  <c r="AF39" i="109"/>
  <c r="AG13" i="122"/>
  <c r="AC5" i="123"/>
  <c r="AC8" i="123" s="1"/>
  <c r="AC19" i="123" s="1"/>
  <c r="AC23" i="113"/>
  <c r="W24" i="122"/>
  <c r="V30" i="113"/>
  <c r="V29" i="113" s="1"/>
  <c r="AW22" i="109"/>
  <c r="AW26" i="109"/>
  <c r="AW34" i="109"/>
  <c r="AW33" i="109"/>
  <c r="AW3" i="119"/>
  <c r="AV2" i="119"/>
  <c r="AV10" i="119"/>
  <c r="AV14" i="116"/>
  <c r="AV15" i="116" s="1"/>
  <c r="AV13" i="116"/>
  <c r="AV20" i="116"/>
  <c r="AV19" i="116" s="1"/>
  <c r="AV22" i="116" s="1"/>
  <c r="AV25" i="116" s="1"/>
  <c r="AV24" i="116" s="1"/>
  <c r="AV26" i="116" s="1"/>
  <c r="AV6" i="116"/>
  <c r="AJ9" i="109"/>
  <c r="AJ6" i="113"/>
  <c r="AH37" i="109"/>
  <c r="AH18" i="113" s="1"/>
  <c r="AH28" i="113"/>
  <c r="AI35" i="109"/>
  <c r="AJ6" i="122"/>
  <c r="AI14" i="109"/>
  <c r="AI16" i="109" s="1"/>
  <c r="AI9" i="113"/>
  <c r="X10" i="122"/>
  <c r="Y5" i="122"/>
  <c r="W27" i="113"/>
  <c r="AX2" i="109"/>
  <c r="AY3" i="109"/>
  <c r="AF16" i="122"/>
  <c r="AE7" i="123"/>
  <c r="AE33" i="113"/>
  <c r="AH11" i="113"/>
  <c r="AL31" i="116"/>
  <c r="AK7" i="109"/>
  <c r="AK7" i="113" s="1"/>
  <c r="AL34" i="116"/>
  <c r="AL35" i="116" s="1"/>
  <c r="AL42" i="116" s="1"/>
  <c r="AX3" i="113"/>
  <c r="AW2" i="113"/>
  <c r="AW8" i="113"/>
  <c r="AU22" i="116"/>
  <c r="AU25" i="116" s="1"/>
  <c r="AU24" i="116" s="1"/>
  <c r="AU26" i="116" s="1"/>
  <c r="AJ11" i="119"/>
  <c r="AJ14" i="119"/>
  <c r="AT16" i="113"/>
  <c r="AD22" i="113"/>
  <c r="AD48" i="109"/>
  <c r="AH17" i="109"/>
  <c r="AK6" i="119"/>
  <c r="AK12" i="109"/>
  <c r="AK5" i="109"/>
  <c r="AK6" i="109" s="1"/>
  <c r="AK8" i="119"/>
  <c r="AK16" i="119" s="1"/>
  <c r="AK13" i="109" s="1"/>
  <c r="AK43" i="116"/>
  <c r="AG38" i="109"/>
  <c r="AU7" i="116"/>
  <c r="AU8" i="116" s="1"/>
  <c r="AU9" i="116" s="1"/>
  <c r="AE43" i="109"/>
  <c r="AE20" i="113"/>
  <c r="AS26" i="116"/>
  <c r="AU9" i="119"/>
  <c r="AU17" i="119" s="1"/>
  <c r="AU29" i="109" s="1"/>
  <c r="AU7" i="119"/>
  <c r="AU15" i="119" s="1"/>
  <c r="AU21" i="109" s="1"/>
  <c r="AU23" i="109" s="1"/>
  <c r="Y41" i="113"/>
  <c r="Z22" i="122"/>
  <c r="AI19" i="119"/>
  <c r="AI32" i="109" s="1"/>
  <c r="AI25" i="109"/>
  <c r="AI27" i="109" s="1"/>
  <c r="AB5" i="123"/>
  <c r="AB8" i="123" s="1"/>
  <c r="AB19" i="123" s="1"/>
  <c r="AB23" i="113"/>
  <c r="AT10" i="116"/>
  <c r="AW2" i="116"/>
  <c r="AX3" i="116"/>
  <c r="AB20" i="122"/>
  <c r="AA21" i="122"/>
  <c r="Z40" i="113"/>
  <c r="AI30" i="109"/>
  <c r="AI31" i="109"/>
  <c r="AY3" i="123"/>
  <c r="AX2" i="123"/>
  <c r="AH17" i="113"/>
  <c r="AH38" i="109"/>
  <c r="AH19" i="113" s="1"/>
  <c r="AW39" i="113" l="1"/>
  <c r="AT30" i="116"/>
  <c r="AU38" i="116" s="1"/>
  <c r="AU39" i="116" s="1"/>
  <c r="AV16" i="116"/>
  <c r="AI37" i="109"/>
  <c r="AI18" i="113" s="1"/>
  <c r="AI13" i="122"/>
  <c r="AH33" i="113" s="1"/>
  <c r="AY3" i="122"/>
  <c r="AX39" i="113" s="1"/>
  <c r="AX2" i="122"/>
  <c r="AU30" i="116"/>
  <c r="AV38" i="116" s="1"/>
  <c r="AV39" i="116" s="1"/>
  <c r="AZ3" i="109"/>
  <c r="AY2" i="109"/>
  <c r="X24" i="122"/>
  <c r="W30" i="113"/>
  <c r="W29" i="113" s="1"/>
  <c r="AM31" i="116"/>
  <c r="AL7" i="109"/>
  <c r="AL7" i="113" s="1"/>
  <c r="AM34" i="116"/>
  <c r="AM35" i="116" s="1"/>
  <c r="AM42" i="116" s="1"/>
  <c r="AX22" i="109"/>
  <c r="AX26" i="109"/>
  <c r="AX34" i="109"/>
  <c r="AX33" i="109"/>
  <c r="AI11" i="113"/>
  <c r="AJ35" i="109"/>
  <c r="AK6" i="122"/>
  <c r="AJ14" i="109"/>
  <c r="AJ16" i="109" s="1"/>
  <c r="AJ9" i="113"/>
  <c r="AV7" i="119"/>
  <c r="AV15" i="119" s="1"/>
  <c r="AV21" i="109" s="1"/>
  <c r="AV23" i="109" s="1"/>
  <c r="AV9" i="119"/>
  <c r="AV17" i="119" s="1"/>
  <c r="AU16" i="113"/>
  <c r="AU10" i="116"/>
  <c r="AY2" i="123"/>
  <c r="AZ3" i="123"/>
  <c r="Z41" i="113"/>
  <c r="AA22" i="122"/>
  <c r="AF8" i="122"/>
  <c r="AE6" i="123" s="1"/>
  <c r="AE46" i="109"/>
  <c r="AK9" i="109"/>
  <c r="AK6" i="113"/>
  <c r="AH39" i="109"/>
  <c r="AH12" i="113"/>
  <c r="AH13" i="113" s="1"/>
  <c r="AX2" i="113"/>
  <c r="AY3" i="113"/>
  <c r="AX8" i="113"/>
  <c r="AX34" i="113"/>
  <c r="AL12" i="109"/>
  <c r="AL6" i="119"/>
  <c r="AL5" i="109"/>
  <c r="AL6" i="109" s="1"/>
  <c r="AL8" i="119"/>
  <c r="AL16" i="119" s="1"/>
  <c r="AL13" i="109" s="1"/>
  <c r="AL43" i="116"/>
  <c r="AI17" i="109"/>
  <c r="AX3" i="119"/>
  <c r="AW2" i="119"/>
  <c r="AW10" i="119"/>
  <c r="AF7" i="123"/>
  <c r="AG16" i="122"/>
  <c r="AF33" i="113"/>
  <c r="AY3" i="116"/>
  <c r="AX2" i="116"/>
  <c r="AK14" i="119"/>
  <c r="AK11" i="119"/>
  <c r="AJ30" i="109"/>
  <c r="AJ31" i="109"/>
  <c r="AI16" i="122"/>
  <c r="AV7" i="116"/>
  <c r="AV8" i="116" s="1"/>
  <c r="AV9" i="116" s="1"/>
  <c r="AW14" i="116"/>
  <c r="AW15" i="116" s="1"/>
  <c r="AW20" i="116"/>
  <c r="AW19" i="116" s="1"/>
  <c r="AW13" i="116"/>
  <c r="AW6" i="116"/>
  <c r="AC20" i="122"/>
  <c r="AB21" i="122"/>
  <c r="AA40" i="113"/>
  <c r="AI17" i="113"/>
  <c r="AG19" i="113"/>
  <c r="AH13" i="122"/>
  <c r="AG39" i="109"/>
  <c r="AD5" i="123"/>
  <c r="AD8" i="123" s="1"/>
  <c r="AD19" i="123" s="1"/>
  <c r="AD23" i="113"/>
  <c r="AJ19" i="119"/>
  <c r="AJ32" i="109" s="1"/>
  <c r="AJ25" i="109"/>
  <c r="AJ27" i="109" s="1"/>
  <c r="AE36" i="113"/>
  <c r="AE35" i="113" s="1"/>
  <c r="Y10" i="122"/>
  <c r="Z5" i="122"/>
  <c r="X27" i="113"/>
  <c r="AW23" i="116"/>
  <c r="AX23" i="116" s="1"/>
  <c r="AI28" i="113"/>
  <c r="AV18" i="119"/>
  <c r="AF43" i="109"/>
  <c r="AF20" i="113"/>
  <c r="AI38" i="109" l="1"/>
  <c r="AI19" i="113" s="1"/>
  <c r="AZ3" i="122"/>
  <c r="AY34" i="113" s="1"/>
  <c r="AY2" i="122"/>
  <c r="AJ37" i="109"/>
  <c r="AJ18" i="113" s="1"/>
  <c r="AG7" i="123"/>
  <c r="AH16" i="122"/>
  <c r="AG33" i="113"/>
  <c r="AD20" i="122"/>
  <c r="AC21" i="122"/>
  <c r="AB40" i="113"/>
  <c r="AY2" i="116"/>
  <c r="AZ3" i="116"/>
  <c r="AA5" i="122"/>
  <c r="Z10" i="122"/>
  <c r="Y27" i="113"/>
  <c r="AW7" i="116"/>
  <c r="AW8" i="116" s="1"/>
  <c r="AW9" i="116" s="1"/>
  <c r="AW10" i="116" s="1"/>
  <c r="AH36" i="113"/>
  <c r="AH35" i="113" s="1"/>
  <c r="AK30" i="109"/>
  <c r="AK31" i="109"/>
  <c r="AW9" i="119"/>
  <c r="AW17" i="119" s="1"/>
  <c r="AW7" i="119"/>
  <c r="AW15" i="119" s="1"/>
  <c r="AW21" i="109" s="1"/>
  <c r="AW23" i="109" s="1"/>
  <c r="AK35" i="109"/>
  <c r="AL6" i="122"/>
  <c r="AK14" i="109"/>
  <c r="AK16" i="109" s="1"/>
  <c r="AK9" i="113"/>
  <c r="AV29" i="109"/>
  <c r="AJ11" i="113"/>
  <c r="AY33" i="109"/>
  <c r="AY26" i="109"/>
  <c r="AY22" i="109"/>
  <c r="AY34" i="109"/>
  <c r="AG8" i="122"/>
  <c r="AF6" i="123" s="1"/>
  <c r="AF46" i="109"/>
  <c r="AJ17" i="113"/>
  <c r="AW16" i="116"/>
  <c r="AV30" i="116"/>
  <c r="AW38" i="116" s="1"/>
  <c r="AW39" i="116" s="1"/>
  <c r="AH7" i="123"/>
  <c r="AK19" i="119"/>
  <c r="AK32" i="109" s="1"/>
  <c r="AK25" i="109"/>
  <c r="AK27" i="109" s="1"/>
  <c r="AF36" i="113"/>
  <c r="AF35" i="113" s="1"/>
  <c r="AX2" i="119"/>
  <c r="AY3" i="119"/>
  <c r="AX10" i="119"/>
  <c r="AE22" i="113"/>
  <c r="AE48" i="109"/>
  <c r="AZ2" i="123"/>
  <c r="BA3" i="123"/>
  <c r="AV16" i="113"/>
  <c r="AJ28" i="113"/>
  <c r="AJ13" i="122"/>
  <c r="AN31" i="116"/>
  <c r="AM7" i="109"/>
  <c r="AM7" i="113" s="1"/>
  <c r="AN34" i="116"/>
  <c r="AN35" i="116" s="1"/>
  <c r="AN42" i="116" s="1"/>
  <c r="BA3" i="109"/>
  <c r="AZ2" i="109"/>
  <c r="Y24" i="122"/>
  <c r="X30" i="113"/>
  <c r="X29" i="113" s="1"/>
  <c r="AY23" i="116"/>
  <c r="AG43" i="109"/>
  <c r="AG20" i="113"/>
  <c r="AA41" i="113"/>
  <c r="AB22" i="122"/>
  <c r="AW22" i="116"/>
  <c r="AW25" i="116" s="1"/>
  <c r="AW24" i="116" s="1"/>
  <c r="AW26" i="116" s="1"/>
  <c r="AV10" i="116"/>
  <c r="AX14" i="116"/>
  <c r="AX15" i="116" s="1"/>
  <c r="AX20" i="116"/>
  <c r="AX19" i="116" s="1"/>
  <c r="AX22" i="116" s="1"/>
  <c r="AX25" i="116" s="1"/>
  <c r="AX24" i="116" s="1"/>
  <c r="AX26" i="116" s="1"/>
  <c r="AX6" i="116"/>
  <c r="AX13" i="116"/>
  <c r="AW18" i="119"/>
  <c r="AL9" i="109"/>
  <c r="AL6" i="113"/>
  <c r="AH43" i="109"/>
  <c r="AH20" i="113"/>
  <c r="AM6" i="119"/>
  <c r="AM12" i="109"/>
  <c r="AM5" i="109"/>
  <c r="AM6" i="109" s="1"/>
  <c r="AM8" i="119"/>
  <c r="AM16" i="119" s="1"/>
  <c r="AM13" i="109" s="1"/>
  <c r="AM43" i="116"/>
  <c r="AI39" i="109"/>
  <c r="AI12" i="113"/>
  <c r="AI13" i="113" s="1"/>
  <c r="AL14" i="119"/>
  <c r="AL11" i="119"/>
  <c r="AY2" i="113"/>
  <c r="AZ3" i="113"/>
  <c r="AY39" i="113"/>
  <c r="AY8" i="113"/>
  <c r="AJ17" i="109"/>
  <c r="AX16" i="116" l="1"/>
  <c r="AJ38" i="109"/>
  <c r="AJ19" i="113" s="1"/>
  <c r="AZ2" i="122"/>
  <c r="BA3" i="122"/>
  <c r="AZ34" i="113" s="1"/>
  <c r="AI43" i="109"/>
  <c r="AI20" i="113"/>
  <c r="AN6" i="119"/>
  <c r="AN12" i="109"/>
  <c r="AN5" i="109"/>
  <c r="AN6" i="109" s="1"/>
  <c r="AN8" i="119"/>
  <c r="AN16" i="119" s="1"/>
  <c r="AN13" i="109" s="1"/>
  <c r="AN43" i="116"/>
  <c r="AI7" i="123"/>
  <c r="AJ16" i="122"/>
  <c r="AI33" i="113"/>
  <c r="AX9" i="119"/>
  <c r="AX17" i="119" s="1"/>
  <c r="AX7" i="119"/>
  <c r="AX15" i="119" s="1"/>
  <c r="AX21" i="109" s="1"/>
  <c r="AX23" i="109" s="1"/>
  <c r="AK11" i="113"/>
  <c r="AY20" i="116"/>
  <c r="AY19" i="116" s="1"/>
  <c r="AY22" i="116" s="1"/>
  <c r="AY25" i="116" s="1"/>
  <c r="AY24" i="116" s="1"/>
  <c r="AY26" i="116" s="1"/>
  <c r="AY13" i="116"/>
  <c r="AY6" i="116"/>
  <c r="AY14" i="116"/>
  <c r="AY15" i="116" s="1"/>
  <c r="AK28" i="113"/>
  <c r="AK37" i="109"/>
  <c r="AK18" i="113" s="1"/>
  <c r="Z24" i="122"/>
  <c r="Y30" i="113"/>
  <c r="Y29" i="113" s="1"/>
  <c r="AG36" i="113"/>
  <c r="AG35" i="113" s="1"/>
  <c r="AM14" i="119"/>
  <c r="AM11" i="119"/>
  <c r="AH46" i="109"/>
  <c r="AL25" i="109"/>
  <c r="AL27" i="109" s="1"/>
  <c r="AL19" i="119"/>
  <c r="AL32" i="109" s="1"/>
  <c r="AX7" i="116"/>
  <c r="AX8" i="116" s="1"/>
  <c r="AX9" i="116" s="1"/>
  <c r="AH8" i="122"/>
  <c r="AG6" i="123" s="1"/>
  <c r="AG46" i="109"/>
  <c r="AZ26" i="109"/>
  <c r="AZ34" i="109"/>
  <c r="AZ22" i="109"/>
  <c r="AZ33" i="109"/>
  <c r="AX18" i="119"/>
  <c r="AW16" i="113"/>
  <c r="AW30" i="116"/>
  <c r="AX38" i="116" s="1"/>
  <c r="AX39" i="116" s="1"/>
  <c r="AA10" i="122"/>
  <c r="AB5" i="122"/>
  <c r="Z27" i="113"/>
  <c r="AB41" i="113"/>
  <c r="AC22" i="122"/>
  <c r="AJ12" i="113"/>
  <c r="AJ13" i="113" s="1"/>
  <c r="AL30" i="109"/>
  <c r="AL31" i="109"/>
  <c r="BA2" i="123"/>
  <c r="BB3" i="123"/>
  <c r="BB2" i="123" s="1"/>
  <c r="BA3" i="113"/>
  <c r="AZ2" i="113"/>
  <c r="AZ8" i="113"/>
  <c r="AM9" i="109"/>
  <c r="AM6" i="113"/>
  <c r="AL35" i="109"/>
  <c r="AL14" i="109"/>
  <c r="AL16" i="109" s="1"/>
  <c r="AM6" i="122"/>
  <c r="AL9" i="113"/>
  <c r="BB3" i="109"/>
  <c r="BB2" i="109" s="1"/>
  <c r="BA2" i="109"/>
  <c r="AO31" i="116"/>
  <c r="AN7" i="109"/>
  <c r="AN7" i="113" s="1"/>
  <c r="AO34" i="116"/>
  <c r="AO35" i="116" s="1"/>
  <c r="AO42" i="116" s="1"/>
  <c r="AE5" i="123"/>
  <c r="AE8" i="123" s="1"/>
  <c r="AE19" i="123" s="1"/>
  <c r="AE23" i="113"/>
  <c r="AZ3" i="119"/>
  <c r="AY2" i="119"/>
  <c r="AY18" i="119" s="1"/>
  <c r="AY10" i="119"/>
  <c r="AK17" i="113"/>
  <c r="AF22" i="113"/>
  <c r="AF48" i="109"/>
  <c r="AK17" i="109"/>
  <c r="AW29" i="109"/>
  <c r="BA3" i="116"/>
  <c r="AZ2" i="116"/>
  <c r="AE20" i="122"/>
  <c r="AD21" i="122"/>
  <c r="AC40" i="113"/>
  <c r="AK13" i="122" l="1"/>
  <c r="AJ39" i="109"/>
  <c r="AZ39" i="113"/>
  <c r="AY16" i="116"/>
  <c r="AZ23" i="116"/>
  <c r="BB3" i="122"/>
  <c r="BA34" i="113" s="1"/>
  <c r="BA2" i="122"/>
  <c r="AK38" i="109"/>
  <c r="AK19" i="113" s="1"/>
  <c r="AL11" i="113"/>
  <c r="D12" i="123"/>
  <c r="E12" i="123"/>
  <c r="D8" i="123"/>
  <c r="D11" i="123"/>
  <c r="E15" i="123"/>
  <c r="D17" i="123"/>
  <c r="D19" i="123"/>
  <c r="F12" i="123"/>
  <c r="D5" i="123"/>
  <c r="F17" i="123"/>
  <c r="D7" i="123"/>
  <c r="D15" i="123"/>
  <c r="C12" i="123"/>
  <c r="C17" i="123"/>
  <c r="E17" i="123"/>
  <c r="E16" i="123"/>
  <c r="F15" i="123"/>
  <c r="D6" i="123"/>
  <c r="C15" i="123"/>
  <c r="F16" i="123"/>
  <c r="C11" i="123"/>
  <c r="F11" i="123"/>
  <c r="C16" i="123"/>
  <c r="D16" i="123"/>
  <c r="E11" i="123"/>
  <c r="AM30" i="109"/>
  <c r="AM31" i="109"/>
  <c r="BB22" i="109"/>
  <c r="BB26" i="109"/>
  <c r="C26" i="109" s="1"/>
  <c r="BB33" i="109"/>
  <c r="C33" i="109" s="1"/>
  <c r="BB34" i="109"/>
  <c r="C22" i="109"/>
  <c r="C34" i="109"/>
  <c r="D37" i="109"/>
  <c r="D18" i="113" s="1"/>
  <c r="F8" i="109"/>
  <c r="F8" i="113" s="1"/>
  <c r="D22" i="109"/>
  <c r="D35" i="109"/>
  <c r="D15" i="109"/>
  <c r="D14" i="109"/>
  <c r="D21" i="109"/>
  <c r="C42" i="109"/>
  <c r="D25" i="109"/>
  <c r="E36" i="109"/>
  <c r="E26" i="109"/>
  <c r="D26" i="109"/>
  <c r="D8" i="109"/>
  <c r="D8" i="113" s="1"/>
  <c r="D9" i="109"/>
  <c r="D9" i="113" s="1"/>
  <c r="C7" i="7" s="1"/>
  <c r="D31" i="109"/>
  <c r="F36" i="109"/>
  <c r="D44" i="109"/>
  <c r="C15" i="109"/>
  <c r="E21" i="109"/>
  <c r="C44" i="109"/>
  <c r="D30" i="109"/>
  <c r="E8" i="109"/>
  <c r="E8" i="113" s="1"/>
  <c r="F44" i="109"/>
  <c r="D38" i="109"/>
  <c r="D19" i="113" s="1"/>
  <c r="D32" i="109"/>
  <c r="D6" i="109"/>
  <c r="D6" i="113" s="1"/>
  <c r="D17" i="109"/>
  <c r="D12" i="113" s="1"/>
  <c r="E42" i="109"/>
  <c r="E29" i="109"/>
  <c r="D45" i="109"/>
  <c r="D23" i="109"/>
  <c r="D16" i="113" s="1"/>
  <c r="F45" i="109"/>
  <c r="D42" i="109"/>
  <c r="D36" i="109"/>
  <c r="D7" i="109"/>
  <c r="D7" i="113" s="1"/>
  <c r="D16" i="109"/>
  <c r="D11" i="113" s="1"/>
  <c r="D33" i="109"/>
  <c r="D39" i="109"/>
  <c r="D20" i="113" s="1"/>
  <c r="C8" i="7" s="1"/>
  <c r="D13" i="109"/>
  <c r="F15" i="109"/>
  <c r="D43" i="109"/>
  <c r="C8" i="109"/>
  <c r="C8" i="113" s="1"/>
  <c r="E22" i="109"/>
  <c r="D29" i="109"/>
  <c r="E23" i="109"/>
  <c r="E16" i="113" s="1"/>
  <c r="D46" i="109"/>
  <c r="D22" i="113" s="1"/>
  <c r="D48" i="109"/>
  <c r="D23" i="113" s="1"/>
  <c r="C9" i="7" s="1"/>
  <c r="C36" i="109"/>
  <c r="F42" i="109"/>
  <c r="E44" i="109"/>
  <c r="D27" i="109"/>
  <c r="D17" i="113" s="1"/>
  <c r="C45" i="109"/>
  <c r="D5" i="109"/>
  <c r="D34" i="109"/>
  <c r="E15" i="109"/>
  <c r="E34" i="109"/>
  <c r="E33" i="109"/>
  <c r="D12" i="109"/>
  <c r="E45" i="109"/>
  <c r="AJ43" i="109"/>
  <c r="AJ20" i="113"/>
  <c r="AB10" i="122"/>
  <c r="AC5" i="122"/>
  <c r="AA27" i="113"/>
  <c r="AL17" i="113"/>
  <c r="AM19" i="119"/>
  <c r="AM32" i="109" s="1"/>
  <c r="AM25" i="109"/>
  <c r="AM27" i="109" s="1"/>
  <c r="AJ7" i="123"/>
  <c r="AK16" i="122"/>
  <c r="AJ33" i="113"/>
  <c r="AI36" i="113"/>
  <c r="AI35" i="113" s="1"/>
  <c r="AN9" i="109"/>
  <c r="AN6" i="113"/>
  <c r="BA3" i="119"/>
  <c r="AZ2" i="119"/>
  <c r="AZ18" i="119" s="1"/>
  <c r="AZ10" i="119"/>
  <c r="AA24" i="122"/>
  <c r="Z30" i="113"/>
  <c r="Z29" i="113" s="1"/>
  <c r="AX30" i="116"/>
  <c r="AY38" i="116" s="1"/>
  <c r="AY39" i="116" s="1"/>
  <c r="AI8" i="122"/>
  <c r="AH6" i="123" s="1"/>
  <c r="AX16" i="113"/>
  <c r="AZ20" i="116"/>
  <c r="AZ19" i="116" s="1"/>
  <c r="AZ13" i="116"/>
  <c r="AZ6" i="116"/>
  <c r="AZ14" i="116"/>
  <c r="AZ15" i="116" s="1"/>
  <c r="AO12" i="109"/>
  <c r="AO5" i="109"/>
  <c r="AO6" i="109" s="1"/>
  <c r="AO6" i="119"/>
  <c r="AO8" i="119"/>
  <c r="AO16" i="119" s="1"/>
  <c r="AO13" i="109" s="1"/>
  <c r="AO43" i="116"/>
  <c r="BA22" i="109"/>
  <c r="F22" i="109" s="1"/>
  <c r="BA33" i="109"/>
  <c r="BA34" i="109"/>
  <c r="BA26" i="109"/>
  <c r="BA2" i="116"/>
  <c r="BB3" i="116"/>
  <c r="AF5" i="123"/>
  <c r="AF8" i="123" s="1"/>
  <c r="AF19" i="123" s="1"/>
  <c r="AF23" i="113"/>
  <c r="AC41" i="113"/>
  <c r="AD22" i="122"/>
  <c r="BA23" i="116"/>
  <c r="AL17" i="109"/>
  <c r="AF20" i="122"/>
  <c r="AE21" i="122"/>
  <c r="AD40" i="113"/>
  <c r="AK12" i="113"/>
  <c r="AK13" i="113" s="1"/>
  <c r="AY9" i="119"/>
  <c r="AY17" i="119" s="1"/>
  <c r="AY29" i="109" s="1"/>
  <c r="AY7" i="119"/>
  <c r="AY15" i="119" s="1"/>
  <c r="AY21" i="109" s="1"/>
  <c r="AY23" i="109" s="1"/>
  <c r="AP31" i="116"/>
  <c r="AO7" i="109"/>
  <c r="AO7" i="113" s="1"/>
  <c r="AP34" i="116"/>
  <c r="AP35" i="116" s="1"/>
  <c r="AP42" i="116" s="1"/>
  <c r="AL28" i="113"/>
  <c r="AN6" i="122"/>
  <c r="AM14" i="109"/>
  <c r="AM16" i="109" s="1"/>
  <c r="AM17" i="109" s="1"/>
  <c r="AM35" i="109"/>
  <c r="AM9" i="113"/>
  <c r="BB3" i="113"/>
  <c r="BA2" i="113"/>
  <c r="BA8" i="113"/>
  <c r="AL37" i="109"/>
  <c r="AL18" i="113" s="1"/>
  <c r="AG22" i="113"/>
  <c r="AG48" i="109"/>
  <c r="AX10" i="116"/>
  <c r="AH22" i="113"/>
  <c r="AH48" i="109"/>
  <c r="AY7" i="116"/>
  <c r="AY8" i="116" s="1"/>
  <c r="AY9" i="116" s="1"/>
  <c r="AX29" i="109"/>
  <c r="AN14" i="119"/>
  <c r="AN11" i="119"/>
  <c r="AI46" i="109"/>
  <c r="F34" i="109" l="1"/>
  <c r="F33" i="109"/>
  <c r="AK39" i="109"/>
  <c r="AK20" i="113" s="1"/>
  <c r="AL13" i="122"/>
  <c r="AK33" i="113" s="1"/>
  <c r="BA39" i="113"/>
  <c r="F26" i="109"/>
  <c r="AJ8" i="122"/>
  <c r="AI6" i="123" s="1"/>
  <c r="D13" i="113"/>
  <c r="BB2" i="122"/>
  <c r="BC3" i="122"/>
  <c r="C7" i="122" s="1"/>
  <c r="C5" i="122"/>
  <c r="C27" i="113" s="1"/>
  <c r="B10" i="7" s="1"/>
  <c r="D16" i="122"/>
  <c r="D36" i="113" s="1"/>
  <c r="C15" i="122"/>
  <c r="D15" i="122"/>
  <c r="AL12" i="113"/>
  <c r="AL13" i="113" s="1"/>
  <c r="BA13" i="116"/>
  <c r="BA20" i="116"/>
  <c r="BA19" i="116" s="1"/>
  <c r="BA22" i="116" s="1"/>
  <c r="BA25" i="116" s="1"/>
  <c r="BA24" i="116" s="1"/>
  <c r="BA26" i="116" s="1"/>
  <c r="BA6" i="116"/>
  <c r="BA14" i="116"/>
  <c r="BA15" i="116" s="1"/>
  <c r="AN31" i="109"/>
  <c r="AN30" i="109"/>
  <c r="AM28" i="113"/>
  <c r="AD41" i="113"/>
  <c r="AE22" i="122"/>
  <c r="AO9" i="109"/>
  <c r="AO6" i="113"/>
  <c r="AZ16" i="116"/>
  <c r="BA2" i="119"/>
  <c r="BA18" i="119" s="1"/>
  <c r="BB3" i="119"/>
  <c r="BA10" i="119"/>
  <c r="AJ36" i="113"/>
  <c r="AJ35" i="113" s="1"/>
  <c r="AL38" i="109"/>
  <c r="AL39" i="109" s="1"/>
  <c r="AB24" i="122"/>
  <c r="AA30" i="113"/>
  <c r="AA29" i="113" s="1"/>
  <c r="AM12" i="113"/>
  <c r="AM13" i="113" s="1"/>
  <c r="AY16" i="113"/>
  <c r="AY30" i="116"/>
  <c r="AZ38" i="116" s="1"/>
  <c r="AZ39" i="116" s="1"/>
  <c r="AN19" i="119"/>
  <c r="AN32" i="109" s="1"/>
  <c r="AN25" i="109"/>
  <c r="AN27" i="109" s="1"/>
  <c r="AY10" i="116"/>
  <c r="AG5" i="123"/>
  <c r="AG8" i="123" s="1"/>
  <c r="AG19" i="123" s="1"/>
  <c r="AG23" i="113"/>
  <c r="AP6" i="119"/>
  <c r="AP5" i="109"/>
  <c r="AP6" i="109" s="1"/>
  <c r="E6" i="109" s="1"/>
  <c r="E6" i="113" s="1"/>
  <c r="AP12" i="109"/>
  <c r="AP8" i="119"/>
  <c r="AP16" i="119" s="1"/>
  <c r="AP13" i="109" s="1"/>
  <c r="E13" i="109" s="1"/>
  <c r="AP43" i="116"/>
  <c r="AF21" i="122"/>
  <c r="AG20" i="122"/>
  <c r="AE40" i="113"/>
  <c r="BB2" i="116"/>
  <c r="C22" i="116"/>
  <c r="E20" i="116"/>
  <c r="C23" i="116"/>
  <c r="D34" i="116"/>
  <c r="E34" i="116"/>
  <c r="C20" i="116"/>
  <c r="C31" i="116"/>
  <c r="E23" i="116"/>
  <c r="D20" i="116"/>
  <c r="D22" i="116"/>
  <c r="D23" i="116"/>
  <c r="C34" i="116"/>
  <c r="E31" i="116"/>
  <c r="D31" i="116"/>
  <c r="E22" i="116"/>
  <c r="AZ22" i="116"/>
  <c r="AZ25" i="116" s="1"/>
  <c r="AZ24" i="116" s="1"/>
  <c r="AZ26" i="116" s="1"/>
  <c r="AM17" i="113"/>
  <c r="AM37" i="109"/>
  <c r="AM18" i="113" s="1"/>
  <c r="AH5" i="123"/>
  <c r="AH8" i="123" s="1"/>
  <c r="AH19" i="123" s="1"/>
  <c r="AH23" i="113"/>
  <c r="AI22" i="113"/>
  <c r="AI48" i="109"/>
  <c r="BB2" i="113"/>
  <c r="BB8" i="113"/>
  <c r="AM11" i="113"/>
  <c r="AQ31" i="116"/>
  <c r="AP7" i="109"/>
  <c r="AP7" i="113" s="1"/>
  <c r="AQ34" i="116"/>
  <c r="AQ35" i="116" s="1"/>
  <c r="AQ42" i="116" s="1"/>
  <c r="BB23" i="116"/>
  <c r="F23" i="116" s="1"/>
  <c r="AO14" i="119"/>
  <c r="AO11" i="119"/>
  <c r="AZ7" i="116"/>
  <c r="AZ8" i="116" s="1"/>
  <c r="AZ9" i="116" s="1"/>
  <c r="AZ10" i="116" s="1"/>
  <c r="AZ7" i="119"/>
  <c r="AZ15" i="119" s="1"/>
  <c r="AZ21" i="109" s="1"/>
  <c r="AZ23" i="109" s="1"/>
  <c r="AZ9" i="119"/>
  <c r="AZ17" i="119" s="1"/>
  <c r="AZ29" i="109" s="1"/>
  <c r="AO6" i="122"/>
  <c r="AN14" i="109"/>
  <c r="AN16" i="109" s="1"/>
  <c r="AN17" i="109" s="1"/>
  <c r="AN35" i="109"/>
  <c r="AN9" i="113"/>
  <c r="AD5" i="122"/>
  <c r="AC10" i="122"/>
  <c r="AB27" i="113"/>
  <c r="AJ46" i="109"/>
  <c r="E15" i="122" l="1"/>
  <c r="D6" i="122"/>
  <c r="D28" i="113" s="1"/>
  <c r="C13" i="122"/>
  <c r="C33" i="113" s="1"/>
  <c r="C8" i="122"/>
  <c r="AK43" i="109"/>
  <c r="AL16" i="122"/>
  <c r="AK7" i="123"/>
  <c r="D22" i="122"/>
  <c r="E7" i="122"/>
  <c r="E9" i="122"/>
  <c r="C21" i="122"/>
  <c r="C41" i="113" s="1"/>
  <c r="F9" i="122"/>
  <c r="BB34" i="113"/>
  <c r="D21" i="122"/>
  <c r="D41" i="113" s="1"/>
  <c r="C22" i="122"/>
  <c r="C20" i="122"/>
  <c r="C40" i="113" s="1"/>
  <c r="C6" i="122"/>
  <c r="C28" i="113" s="1"/>
  <c r="C16" i="122"/>
  <c r="C36" i="113" s="1"/>
  <c r="AK8" i="122"/>
  <c r="AJ6" i="123" s="1"/>
  <c r="BC2" i="122"/>
  <c r="D20" i="122"/>
  <c r="D40" i="113" s="1"/>
  <c r="E19" i="122"/>
  <c r="E39" i="113" s="1"/>
  <c r="C19" i="122"/>
  <c r="C39" i="113" s="1"/>
  <c r="F14" i="122"/>
  <c r="F34" i="113" s="1"/>
  <c r="D19" i="122"/>
  <c r="D39" i="113" s="1"/>
  <c r="F7" i="122"/>
  <c r="C10" i="122"/>
  <c r="C30" i="113" s="1"/>
  <c r="C24" i="122"/>
  <c r="C14" i="122"/>
  <c r="C34" i="113" s="1"/>
  <c r="E5" i="109"/>
  <c r="BB39" i="113"/>
  <c r="E14" i="122"/>
  <c r="E34" i="113" s="1"/>
  <c r="D8" i="122"/>
  <c r="F15" i="122"/>
  <c r="D7" i="122"/>
  <c r="D14" i="122"/>
  <c r="D34" i="113" s="1"/>
  <c r="F19" i="122"/>
  <c r="F39" i="113" s="1"/>
  <c r="C9" i="122"/>
  <c r="D13" i="122"/>
  <c r="D33" i="113" s="1"/>
  <c r="D9" i="122"/>
  <c r="AL43" i="109"/>
  <c r="AL20" i="113"/>
  <c r="AR31" i="116"/>
  <c r="AQ7" i="109"/>
  <c r="AR34" i="116"/>
  <c r="AR35" i="116" s="1"/>
  <c r="AR42" i="116" s="1"/>
  <c r="AM38" i="109"/>
  <c r="AE41" i="113"/>
  <c r="AF22" i="122"/>
  <c r="AP14" i="119"/>
  <c r="AP11" i="119"/>
  <c r="E11" i="119" s="1"/>
  <c r="AN17" i="113"/>
  <c r="AP6" i="122"/>
  <c r="AO14" i="109"/>
  <c r="AO16" i="109" s="1"/>
  <c r="AO17" i="109" s="1"/>
  <c r="AO35" i="109"/>
  <c r="AO9" i="113"/>
  <c r="AO25" i="109"/>
  <c r="AO19" i="119"/>
  <c r="AO32" i="109" s="1"/>
  <c r="AC24" i="122"/>
  <c r="AB30" i="113"/>
  <c r="AB29" i="113" s="1"/>
  <c r="AN12" i="113"/>
  <c r="AN13" i="113" s="1"/>
  <c r="E7" i="109"/>
  <c r="E7" i="113" s="1"/>
  <c r="AD10" i="122"/>
  <c r="AE5" i="122"/>
  <c r="AC27" i="113"/>
  <c r="AN11" i="113"/>
  <c r="AZ16" i="113"/>
  <c r="AO30" i="109"/>
  <c r="AO31" i="109"/>
  <c r="AQ12" i="109"/>
  <c r="AQ6" i="119"/>
  <c r="AQ5" i="109"/>
  <c r="AQ8" i="119"/>
  <c r="AQ16" i="119" s="1"/>
  <c r="AQ13" i="109" s="1"/>
  <c r="AQ43" i="116"/>
  <c r="BB20" i="116"/>
  <c r="BB14" i="116"/>
  <c r="BB15" i="116" s="1"/>
  <c r="C15" i="116" s="1"/>
  <c r="BB6" i="116"/>
  <c r="F6" i="116" s="1"/>
  <c r="BB13" i="116"/>
  <c r="F13" i="116" s="1"/>
  <c r="E13" i="116"/>
  <c r="D13" i="116"/>
  <c r="C13" i="116"/>
  <c r="C14" i="116"/>
  <c r="E38" i="116"/>
  <c r="E8" i="116"/>
  <c r="D14" i="116"/>
  <c r="D35" i="116"/>
  <c r="E30" i="116"/>
  <c r="D15" i="116"/>
  <c r="E14" i="116"/>
  <c r="E6" i="116"/>
  <c r="E24" i="116"/>
  <c r="E42" i="116"/>
  <c r="D19" i="116"/>
  <c r="E7" i="116"/>
  <c r="D25" i="116"/>
  <c r="E39" i="116"/>
  <c r="E9" i="116"/>
  <c r="D8" i="116"/>
  <c r="D6" i="116"/>
  <c r="D7" i="116"/>
  <c r="D30" i="116"/>
  <c r="E35" i="116"/>
  <c r="D38" i="116"/>
  <c r="D9" i="116"/>
  <c r="E25" i="116"/>
  <c r="D24" i="116"/>
  <c r="D39" i="116"/>
  <c r="E15" i="116"/>
  <c r="D42" i="116"/>
  <c r="E19" i="116"/>
  <c r="AK36" i="113"/>
  <c r="AK35" i="113" s="1"/>
  <c r="BA9" i="119"/>
  <c r="BA17" i="119" s="1"/>
  <c r="BA29" i="109" s="1"/>
  <c r="BA7" i="119"/>
  <c r="BA15" i="119" s="1"/>
  <c r="BA21" i="109" s="1"/>
  <c r="BA23" i="109" s="1"/>
  <c r="BA7" i="116"/>
  <c r="BA8" i="116" s="1"/>
  <c r="BA9" i="116" s="1"/>
  <c r="AN37" i="109"/>
  <c r="AN18" i="113" s="1"/>
  <c r="AJ22" i="113"/>
  <c r="AJ48" i="109"/>
  <c r="AN28" i="113"/>
  <c r="AI5" i="123"/>
  <c r="AI8" i="123" s="1"/>
  <c r="AI19" i="123" s="1"/>
  <c r="AI23" i="113"/>
  <c r="AZ30" i="116"/>
  <c r="BA38" i="116" s="1"/>
  <c r="BA39" i="116" s="1"/>
  <c r="E12" i="109"/>
  <c r="AH20" i="122"/>
  <c r="AG21" i="122"/>
  <c r="AF40" i="113"/>
  <c r="AK46" i="109"/>
  <c r="AP9" i="109"/>
  <c r="AP6" i="113"/>
  <c r="AL19" i="113"/>
  <c r="AM13" i="122"/>
  <c r="BB2" i="119"/>
  <c r="BB18" i="119" s="1"/>
  <c r="BB10" i="119"/>
  <c r="F10" i="119" s="1"/>
  <c r="C9" i="119"/>
  <c r="D9" i="119"/>
  <c r="E8" i="119"/>
  <c r="C8" i="119"/>
  <c r="C11" i="119"/>
  <c r="E6" i="119"/>
  <c r="D7" i="119"/>
  <c r="C7" i="119"/>
  <c r="C6" i="119"/>
  <c r="D8" i="119"/>
  <c r="D6" i="119"/>
  <c r="D10" i="119"/>
  <c r="E9" i="119"/>
  <c r="E10" i="119"/>
  <c r="C10" i="119"/>
  <c r="E7" i="119"/>
  <c r="D11" i="119"/>
  <c r="BA16" i="116"/>
  <c r="D35" i="113" l="1"/>
  <c r="AL8" i="122"/>
  <c r="AK6" i="123" s="1"/>
  <c r="C35" i="113"/>
  <c r="C29" i="113"/>
  <c r="F14" i="116"/>
  <c r="BB16" i="116"/>
  <c r="F15" i="116"/>
  <c r="F16" i="116" s="1"/>
  <c r="C16" i="116"/>
  <c r="BA16" i="113"/>
  <c r="E10" i="116"/>
  <c r="E43" i="116"/>
  <c r="AQ14" i="119"/>
  <c r="AQ11" i="119"/>
  <c r="AO12" i="113"/>
  <c r="AO13" i="113" s="1"/>
  <c r="AS31" i="116"/>
  <c r="AR7" i="109"/>
  <c r="AR7" i="113" s="1"/>
  <c r="AS34" i="116"/>
  <c r="AS35" i="116" s="1"/>
  <c r="AM16" i="122"/>
  <c r="AL7" i="123"/>
  <c r="AL33" i="113"/>
  <c r="AQ6" i="122"/>
  <c r="AP14" i="109"/>
  <c r="AP16" i="109" s="1"/>
  <c r="AP17" i="109" s="1"/>
  <c r="AP35" i="109"/>
  <c r="AP9" i="113"/>
  <c r="E9" i="109"/>
  <c r="E9" i="113" s="1"/>
  <c r="D7" i="7" s="1"/>
  <c r="AF41" i="113"/>
  <c r="AG22" i="122"/>
  <c r="BA30" i="116"/>
  <c r="BB38" i="116" s="1"/>
  <c r="F38" i="116" s="1"/>
  <c r="BB7" i="116"/>
  <c r="F7" i="116" s="1"/>
  <c r="C6" i="116"/>
  <c r="AE10" i="122"/>
  <c r="AF5" i="122"/>
  <c r="AD27" i="113"/>
  <c r="D5" i="122"/>
  <c r="D27" i="113" s="1"/>
  <c r="C10" i="7" s="1"/>
  <c r="AO27" i="109"/>
  <c r="AO11" i="113"/>
  <c r="AP31" i="109"/>
  <c r="E31" i="109" s="1"/>
  <c r="AP30" i="109"/>
  <c r="AK22" i="113"/>
  <c r="AK48" i="109"/>
  <c r="AI20" i="122"/>
  <c r="AH21" i="122"/>
  <c r="AG40" i="113"/>
  <c r="BA10" i="116"/>
  <c r="D16" i="116"/>
  <c r="AD24" i="122"/>
  <c r="AC30" i="113"/>
  <c r="AC29" i="113" s="1"/>
  <c r="AO28" i="113"/>
  <c r="AP25" i="109"/>
  <c r="AP27" i="109" s="1"/>
  <c r="AP19" i="119"/>
  <c r="AP32" i="109" s="1"/>
  <c r="E32" i="109" s="1"/>
  <c r="AM19" i="113"/>
  <c r="AM39" i="109"/>
  <c r="AN13" i="122"/>
  <c r="AR6" i="119"/>
  <c r="AR5" i="109"/>
  <c r="AR6" i="109" s="1"/>
  <c r="AR12" i="109"/>
  <c r="AR8" i="119"/>
  <c r="AR16" i="119" s="1"/>
  <c r="AR13" i="109" s="1"/>
  <c r="AR43" i="116"/>
  <c r="AL46" i="109"/>
  <c r="AM8" i="122"/>
  <c r="AL6" i="123" s="1"/>
  <c r="BB7" i="119"/>
  <c r="BB9" i="119"/>
  <c r="D19" i="119"/>
  <c r="C18" i="119"/>
  <c r="D17" i="119"/>
  <c r="E16" i="119"/>
  <c r="F18" i="119"/>
  <c r="D14" i="119"/>
  <c r="D15" i="119"/>
  <c r="E19" i="119"/>
  <c r="E17" i="119"/>
  <c r="E14" i="119"/>
  <c r="D16" i="119"/>
  <c r="E18" i="119"/>
  <c r="D18" i="119"/>
  <c r="E15" i="119"/>
  <c r="AJ5" i="123"/>
  <c r="AJ8" i="123" s="1"/>
  <c r="AJ19" i="123" s="1"/>
  <c r="AJ23" i="113"/>
  <c r="D26" i="116"/>
  <c r="D10" i="116"/>
  <c r="D43" i="116"/>
  <c r="E26" i="116"/>
  <c r="E16" i="116"/>
  <c r="BB19" i="116"/>
  <c r="F20" i="116"/>
  <c r="AQ6" i="109"/>
  <c r="AO37" i="109"/>
  <c r="AO18" i="113" s="1"/>
  <c r="AN38" i="109"/>
  <c r="AQ7" i="113"/>
  <c r="E14" i="109" l="1"/>
  <c r="AL22" i="113"/>
  <c r="AL48" i="109"/>
  <c r="AR9" i="109"/>
  <c r="AR6" i="113"/>
  <c r="AG41" i="113"/>
  <c r="AH22" i="122"/>
  <c r="BB8" i="116"/>
  <c r="C7" i="116"/>
  <c r="AN19" i="113"/>
  <c r="AO13" i="122"/>
  <c r="AN39" i="109"/>
  <c r="C19" i="116"/>
  <c r="BB22" i="116"/>
  <c r="F19" i="116"/>
  <c r="BB17" i="119"/>
  <c r="F9" i="119"/>
  <c r="AR11" i="119"/>
  <c r="AR14" i="119"/>
  <c r="AI21" i="122"/>
  <c r="AJ20" i="122"/>
  <c r="AH40" i="113"/>
  <c r="AP12" i="113"/>
  <c r="AP13" i="113" s="1"/>
  <c r="AT31" i="116"/>
  <c r="AS7" i="109"/>
  <c r="AT34" i="116"/>
  <c r="AT35" i="116" s="1"/>
  <c r="AT42" i="116" s="1"/>
  <c r="AQ31" i="109"/>
  <c r="AQ30" i="109"/>
  <c r="BB15" i="119"/>
  <c r="F7" i="119"/>
  <c r="AM7" i="123"/>
  <c r="AN16" i="122"/>
  <c r="AM33" i="113"/>
  <c r="AP17" i="113"/>
  <c r="AK5" i="123"/>
  <c r="AK8" i="123" s="1"/>
  <c r="AK23" i="113"/>
  <c r="AP37" i="109"/>
  <c r="AP18" i="113" s="1"/>
  <c r="E30" i="109"/>
  <c r="E25" i="109"/>
  <c r="AF10" i="122"/>
  <c r="AG5" i="122"/>
  <c r="AE27" i="113"/>
  <c r="BB39" i="116"/>
  <c r="C38" i="116"/>
  <c r="AP11" i="113"/>
  <c r="E16" i="109"/>
  <c r="E11" i="113" s="1"/>
  <c r="AL36" i="113"/>
  <c r="AL35" i="113" s="1"/>
  <c r="E17" i="109"/>
  <c r="E12" i="113" s="1"/>
  <c r="E13" i="113" s="1"/>
  <c r="AQ19" i="119"/>
  <c r="AQ25" i="109"/>
  <c r="AQ9" i="109"/>
  <c r="AQ6" i="113"/>
  <c r="AM43" i="109"/>
  <c r="AM20" i="113"/>
  <c r="AO17" i="113"/>
  <c r="AO38" i="109"/>
  <c r="E27" i="109"/>
  <c r="E17" i="113" s="1"/>
  <c r="AE24" i="122"/>
  <c r="D24" i="122" s="1"/>
  <c r="AD30" i="113"/>
  <c r="AD29" i="113" s="1"/>
  <c r="D10" i="122"/>
  <c r="D30" i="113" s="1"/>
  <c r="D29" i="113" s="1"/>
  <c r="AP28" i="113"/>
  <c r="E6" i="122"/>
  <c r="E28" i="113" s="1"/>
  <c r="AS42" i="116"/>
  <c r="E37" i="109" l="1"/>
  <c r="E18" i="113" s="1"/>
  <c r="AP38" i="109"/>
  <c r="AP19" i="113" s="1"/>
  <c r="AR6" i="122"/>
  <c r="AQ14" i="109"/>
  <c r="AQ35" i="109"/>
  <c r="AQ9" i="113"/>
  <c r="AK19" i="123"/>
  <c r="AM36" i="113"/>
  <c r="AM35" i="113" s="1"/>
  <c r="AH41" i="113"/>
  <c r="AI22" i="122"/>
  <c r="BB29" i="109"/>
  <c r="C17" i="119"/>
  <c r="F17" i="119"/>
  <c r="AL5" i="123"/>
  <c r="AL8" i="123" s="1"/>
  <c r="AL19" i="123" s="1"/>
  <c r="AL23" i="113"/>
  <c r="AQ27" i="109"/>
  <c r="AT5" i="109"/>
  <c r="AT6" i="109" s="1"/>
  <c r="AT12" i="109"/>
  <c r="AT6" i="119"/>
  <c r="AT8" i="119"/>
  <c r="AT16" i="119" s="1"/>
  <c r="AT13" i="109" s="1"/>
  <c r="AT43" i="116"/>
  <c r="AP39" i="109"/>
  <c r="AR19" i="119"/>
  <c r="AR32" i="109" s="1"/>
  <c r="AR25" i="109"/>
  <c r="AR27" i="109" s="1"/>
  <c r="AN43" i="109"/>
  <c r="AN20" i="113"/>
  <c r="BB9" i="116"/>
  <c r="C8" i="116"/>
  <c r="F8" i="116"/>
  <c r="AS12" i="109"/>
  <c r="AS5" i="109"/>
  <c r="AS6" i="119"/>
  <c r="AS8" i="119"/>
  <c r="AS16" i="119" s="1"/>
  <c r="AS43" i="116"/>
  <c r="AQ32" i="109"/>
  <c r="C39" i="116"/>
  <c r="F39" i="116"/>
  <c r="AH5" i="122"/>
  <c r="AG10" i="122"/>
  <c r="AF27" i="113"/>
  <c r="AS7" i="113"/>
  <c r="AR31" i="109"/>
  <c r="AR30" i="109"/>
  <c r="BB25" i="116"/>
  <c r="F22" i="116"/>
  <c r="AN7" i="123"/>
  <c r="AO16" i="122"/>
  <c r="AN33" i="113"/>
  <c r="AO19" i="113"/>
  <c r="AP13" i="122"/>
  <c r="AO39" i="109"/>
  <c r="AN8" i="122"/>
  <c r="AM6" i="123" s="1"/>
  <c r="AM46" i="109"/>
  <c r="AF24" i="122"/>
  <c r="AE30" i="113"/>
  <c r="AE29" i="113" s="1"/>
  <c r="BB21" i="109"/>
  <c r="C15" i="119"/>
  <c r="F15" i="119"/>
  <c r="AU31" i="116"/>
  <c r="AT7" i="109"/>
  <c r="AT7" i="113" s="1"/>
  <c r="AU34" i="116"/>
  <c r="AU35" i="116" s="1"/>
  <c r="AJ21" i="122"/>
  <c r="AK20" i="122"/>
  <c r="AI40" i="113"/>
  <c r="AR14" i="109"/>
  <c r="AR16" i="109" s="1"/>
  <c r="AR35" i="109"/>
  <c r="AS6" i="122"/>
  <c r="AR9" i="113"/>
  <c r="AQ37" i="109" l="1"/>
  <c r="AQ38" i="109" s="1"/>
  <c r="AQ13" i="122"/>
  <c r="AP7" i="123" s="1"/>
  <c r="E38" i="109"/>
  <c r="E19" i="113" s="1"/>
  <c r="BB24" i="116"/>
  <c r="C25" i="116"/>
  <c r="F25" i="116"/>
  <c r="AS6" i="109"/>
  <c r="BB30" i="116"/>
  <c r="C9" i="116"/>
  <c r="C10" i="116" s="1"/>
  <c r="F9" i="116"/>
  <c r="F10" i="116" s="1"/>
  <c r="BB10" i="116"/>
  <c r="AT9" i="109"/>
  <c r="AT6" i="113"/>
  <c r="C29" i="109"/>
  <c r="F29" i="109"/>
  <c r="AQ16" i="109"/>
  <c r="AV31" i="116"/>
  <c r="AU7" i="109"/>
  <c r="AU7" i="113" s="1"/>
  <c r="AV34" i="116"/>
  <c r="AV35" i="116" s="1"/>
  <c r="AV42" i="116" s="1"/>
  <c r="AO43" i="109"/>
  <c r="AO20" i="113"/>
  <c r="E39" i="109"/>
  <c r="E20" i="113" s="1"/>
  <c r="D8" i="7" s="1"/>
  <c r="AN36" i="113"/>
  <c r="AN35" i="113" s="1"/>
  <c r="AR37" i="109"/>
  <c r="AR18" i="113" s="1"/>
  <c r="AR17" i="113"/>
  <c r="AU42" i="116"/>
  <c r="AP16" i="122"/>
  <c r="AO7" i="123"/>
  <c r="AO33" i="113"/>
  <c r="AG24" i="122"/>
  <c r="AF30" i="113"/>
  <c r="AF29" i="113" s="1"/>
  <c r="AS13" i="109"/>
  <c r="AT14" i="119"/>
  <c r="AT11" i="119"/>
  <c r="AQ28" i="113"/>
  <c r="AI41" i="113"/>
  <c r="AJ22" i="122"/>
  <c r="AR11" i="113"/>
  <c r="AR17" i="109"/>
  <c r="AR28" i="113"/>
  <c r="AK21" i="122"/>
  <c r="AL20" i="122"/>
  <c r="AJ40" i="113"/>
  <c r="BB23" i="109"/>
  <c r="C21" i="109"/>
  <c r="F21" i="109"/>
  <c r="AM22" i="113"/>
  <c r="AM48" i="109"/>
  <c r="AH10" i="122"/>
  <c r="AI5" i="122"/>
  <c r="AG27" i="113"/>
  <c r="AS14" i="119"/>
  <c r="AS11" i="119"/>
  <c r="AN46" i="109"/>
  <c r="AO8" i="122"/>
  <c r="AN6" i="123" s="1"/>
  <c r="AP43" i="109"/>
  <c r="AP20" i="113"/>
  <c r="AQ17" i="113"/>
  <c r="AQ18" i="113" l="1"/>
  <c r="AR38" i="109"/>
  <c r="AR19" i="113" s="1"/>
  <c r="AQ16" i="122"/>
  <c r="E13" i="122"/>
  <c r="E33" i="113" s="1"/>
  <c r="AP33" i="113"/>
  <c r="AQ19" i="113"/>
  <c r="AR13" i="122"/>
  <c r="AQ11" i="113"/>
  <c r="AQ17" i="109"/>
  <c r="BB26" i="116"/>
  <c r="C24" i="116"/>
  <c r="F24" i="116"/>
  <c r="AL21" i="122"/>
  <c r="AM20" i="122"/>
  <c r="AK40" i="113"/>
  <c r="AR39" i="109"/>
  <c r="AR12" i="113"/>
  <c r="AR13" i="113" s="1"/>
  <c r="AT30" i="109"/>
  <c r="AT31" i="109"/>
  <c r="AO36" i="113"/>
  <c r="AO35" i="113" s="1"/>
  <c r="AP8" i="122"/>
  <c r="AO6" i="123" s="1"/>
  <c r="AO46" i="109"/>
  <c r="AV12" i="109"/>
  <c r="AV5" i="109"/>
  <c r="AV6" i="109" s="1"/>
  <c r="AV6" i="119"/>
  <c r="AV8" i="119"/>
  <c r="AV16" i="119" s="1"/>
  <c r="AV13" i="109" s="1"/>
  <c r="AV43" i="116"/>
  <c r="AS9" i="109"/>
  <c r="AS6" i="113"/>
  <c r="AJ41" i="113"/>
  <c r="AK22" i="122"/>
  <c r="AT19" i="119"/>
  <c r="AT32" i="109" s="1"/>
  <c r="AT25" i="109"/>
  <c r="AT27" i="109" s="1"/>
  <c r="AT35" i="109"/>
  <c r="AU6" i="122"/>
  <c r="AT14" i="109"/>
  <c r="AT16" i="109" s="1"/>
  <c r="AT9" i="113"/>
  <c r="AP46" i="109"/>
  <c r="AS30" i="109"/>
  <c r="AS31" i="109"/>
  <c r="AI10" i="122"/>
  <c r="AJ5" i="122"/>
  <c r="AH27" i="113"/>
  <c r="AS19" i="119"/>
  <c r="AS25" i="109"/>
  <c r="AH24" i="122"/>
  <c r="AG30" i="113"/>
  <c r="AG29" i="113" s="1"/>
  <c r="AN22" i="113"/>
  <c r="AN48" i="109"/>
  <c r="AM5" i="123"/>
  <c r="AM8" i="123" s="1"/>
  <c r="AM19" i="123" s="1"/>
  <c r="AM23" i="113"/>
  <c r="C23" i="109"/>
  <c r="C16" i="113" s="1"/>
  <c r="BB16" i="113"/>
  <c r="F23" i="109"/>
  <c r="F16" i="113" s="1"/>
  <c r="AS13" i="122"/>
  <c r="AU6" i="119"/>
  <c r="AU12" i="109"/>
  <c r="AU5" i="109"/>
  <c r="AU8" i="119"/>
  <c r="AU16" i="119" s="1"/>
  <c r="AU43" i="116"/>
  <c r="AW31" i="116"/>
  <c r="AV7" i="109"/>
  <c r="AW34" i="116"/>
  <c r="AW35" i="116" s="1"/>
  <c r="AW42" i="116" s="1"/>
  <c r="C30" i="116"/>
  <c r="F30" i="116"/>
  <c r="AP36" i="113" l="1"/>
  <c r="AP35" i="113" s="1"/>
  <c r="E16" i="122"/>
  <c r="E36" i="113" s="1"/>
  <c r="E35" i="113" s="1"/>
  <c r="AQ8" i="122"/>
  <c r="AP6" i="123" s="1"/>
  <c r="AS35" i="109"/>
  <c r="AS14" i="109"/>
  <c r="AT6" i="122"/>
  <c r="AS9" i="113"/>
  <c r="AW5" i="109"/>
  <c r="AW6" i="109" s="1"/>
  <c r="AW12" i="109"/>
  <c r="AW6" i="119"/>
  <c r="AW8" i="119"/>
  <c r="AW16" i="119" s="1"/>
  <c r="AW13" i="109" s="1"/>
  <c r="AW43" i="116"/>
  <c r="AK5" i="122"/>
  <c r="AJ10" i="122"/>
  <c r="AI27" i="113"/>
  <c r="AT11" i="113"/>
  <c r="AR43" i="109"/>
  <c r="AR20" i="113"/>
  <c r="AQ39" i="109"/>
  <c r="AQ12" i="113"/>
  <c r="AQ13" i="113" s="1"/>
  <c r="AV9" i="109"/>
  <c r="AV6" i="113"/>
  <c r="AK41" i="113"/>
  <c r="AL22" i="122"/>
  <c r="AR16" i="122"/>
  <c r="AQ7" i="123"/>
  <c r="AQ33" i="113"/>
  <c r="AU11" i="119"/>
  <c r="AU14" i="119"/>
  <c r="AU13" i="109"/>
  <c r="AR7" i="123"/>
  <c r="AS16" i="122"/>
  <c r="AR33" i="113"/>
  <c r="AS27" i="109"/>
  <c r="AI24" i="122"/>
  <c r="AH30" i="113"/>
  <c r="AH29" i="113" s="1"/>
  <c r="AP22" i="113"/>
  <c r="AP48" i="109"/>
  <c r="AT28" i="113"/>
  <c r="AT17" i="113"/>
  <c r="AO22" i="113"/>
  <c r="AO48" i="109"/>
  <c r="F26" i="116"/>
  <c r="AN5" i="123"/>
  <c r="AN8" i="123" s="1"/>
  <c r="AN19" i="123" s="1"/>
  <c r="AN23" i="113"/>
  <c r="AV7" i="113"/>
  <c r="AX31" i="116"/>
  <c r="AW7" i="109"/>
  <c r="AW7" i="113" s="1"/>
  <c r="AX34" i="116"/>
  <c r="AX35" i="116" s="1"/>
  <c r="AX42" i="116" s="1"/>
  <c r="AU6" i="109"/>
  <c r="AS32" i="109"/>
  <c r="AT17" i="109"/>
  <c r="AV14" i="119"/>
  <c r="AV11" i="119"/>
  <c r="AT37" i="109"/>
  <c r="AT18" i="113" s="1"/>
  <c r="AM21" i="122"/>
  <c r="AN20" i="122"/>
  <c r="AL40" i="113"/>
  <c r="C26" i="116"/>
  <c r="E8" i="122" l="1"/>
  <c r="AT38" i="109"/>
  <c r="AT19" i="113" s="1"/>
  <c r="AV35" i="109"/>
  <c r="AV14" i="109"/>
  <c r="AV16" i="109" s="1"/>
  <c r="AW6" i="122"/>
  <c r="AV9" i="113"/>
  <c r="AL5" i="122"/>
  <c r="AK10" i="122"/>
  <c r="AJ27" i="113"/>
  <c r="AW9" i="109"/>
  <c r="AW6" i="113"/>
  <c r="AS16" i="109"/>
  <c r="AU19" i="119"/>
  <c r="AU25" i="109"/>
  <c r="AS28" i="113"/>
  <c r="AN21" i="122"/>
  <c r="AO20" i="122"/>
  <c r="AM40" i="113"/>
  <c r="AP5" i="123"/>
  <c r="AP8" i="123" s="1"/>
  <c r="AP19" i="123" s="1"/>
  <c r="AP23" i="113"/>
  <c r="AU30" i="109"/>
  <c r="AU31" i="109"/>
  <c r="AL41" i="113"/>
  <c r="AM22" i="122"/>
  <c r="AT12" i="113"/>
  <c r="AT13" i="113" s="1"/>
  <c r="AU9" i="109"/>
  <c r="AU6" i="113"/>
  <c r="AY31" i="116"/>
  <c r="AX7" i="109"/>
  <c r="AX7" i="113" s="1"/>
  <c r="AY34" i="116"/>
  <c r="AY35" i="116" s="1"/>
  <c r="AY42" i="116" s="1"/>
  <c r="AS17" i="113"/>
  <c r="AR46" i="109"/>
  <c r="AV30" i="109"/>
  <c r="AV31" i="109"/>
  <c r="AX6" i="119"/>
  <c r="AX12" i="109"/>
  <c r="AX5" i="109"/>
  <c r="AX8" i="119"/>
  <c r="AX16" i="119" s="1"/>
  <c r="AX43" i="116"/>
  <c r="AS37" i="109"/>
  <c r="AR36" i="113"/>
  <c r="AR35" i="113" s="1"/>
  <c r="AQ36" i="113"/>
  <c r="AQ35" i="113" s="1"/>
  <c r="AQ43" i="109"/>
  <c r="AQ20" i="113"/>
  <c r="AV19" i="119"/>
  <c r="AV32" i="109" s="1"/>
  <c r="AV25" i="109"/>
  <c r="AV27" i="109" s="1"/>
  <c r="AO5" i="123"/>
  <c r="AO8" i="123" s="1"/>
  <c r="AO19" i="123" s="1"/>
  <c r="AO23" i="113"/>
  <c r="AJ24" i="122"/>
  <c r="AI30" i="113"/>
  <c r="AI29" i="113" s="1"/>
  <c r="AW14" i="119"/>
  <c r="AW11" i="119"/>
  <c r="AU13" i="122" l="1"/>
  <c r="AU16" i="122" s="1"/>
  <c r="AT39" i="109"/>
  <c r="AT43" i="109" s="1"/>
  <c r="AO21" i="122"/>
  <c r="AP20" i="122"/>
  <c r="AN40" i="113"/>
  <c r="AS11" i="113"/>
  <c r="AS17" i="109"/>
  <c r="AV28" i="113"/>
  <c r="AW25" i="109"/>
  <c r="AW27" i="109" s="1"/>
  <c r="AW19" i="119"/>
  <c r="AW32" i="109" s="1"/>
  <c r="AX11" i="119"/>
  <c r="AX14" i="119"/>
  <c r="AR22" i="113"/>
  <c r="AR48" i="109"/>
  <c r="AY6" i="119"/>
  <c r="AY5" i="109"/>
  <c r="AY6" i="109" s="1"/>
  <c r="AY12" i="109"/>
  <c r="AY43" i="116"/>
  <c r="AY8" i="119"/>
  <c r="AY16" i="119" s="1"/>
  <c r="AY13" i="109" s="1"/>
  <c r="AM41" i="113"/>
  <c r="AN22" i="122"/>
  <c r="AU27" i="109"/>
  <c r="AK24" i="122"/>
  <c r="AJ30" i="113"/>
  <c r="AJ29" i="113" s="1"/>
  <c r="AV11" i="113"/>
  <c r="AV17" i="113"/>
  <c r="AX13" i="109"/>
  <c r="AU14" i="109"/>
  <c r="AU35" i="109"/>
  <c r="AV6" i="122"/>
  <c r="AU9" i="113"/>
  <c r="AU32" i="109"/>
  <c r="AM5" i="122"/>
  <c r="AL10" i="122"/>
  <c r="AK27" i="113"/>
  <c r="AV17" i="109"/>
  <c r="AW30" i="109"/>
  <c r="AW31" i="109"/>
  <c r="AQ46" i="109"/>
  <c r="AR8" i="122"/>
  <c r="AS18" i="113"/>
  <c r="AX6" i="109"/>
  <c r="AV37" i="109"/>
  <c r="AV18" i="113" s="1"/>
  <c r="AS38" i="109"/>
  <c r="AT13" i="122" s="1"/>
  <c r="AZ31" i="116"/>
  <c r="AY7" i="109"/>
  <c r="AY7" i="113" s="1"/>
  <c r="AZ34" i="116"/>
  <c r="AZ35" i="116" s="1"/>
  <c r="AZ42" i="116" s="1"/>
  <c r="AX6" i="122"/>
  <c r="AW35" i="109"/>
  <c r="AW14" i="109"/>
  <c r="AW16" i="109" s="1"/>
  <c r="AW9" i="113"/>
  <c r="AT33" i="113" l="1"/>
  <c r="AT20" i="113"/>
  <c r="AU37" i="109"/>
  <c r="AU18" i="113" s="1"/>
  <c r="AW37" i="109"/>
  <c r="AW18" i="113" s="1"/>
  <c r="AT16" i="122"/>
  <c r="AS7" i="123"/>
  <c r="AS33" i="113"/>
  <c r="AT7" i="123"/>
  <c r="AW11" i="113"/>
  <c r="AY9" i="109"/>
  <c r="AY6" i="113"/>
  <c r="AX25" i="109"/>
  <c r="AX27" i="109" s="1"/>
  <c r="AX19" i="119"/>
  <c r="AP21" i="122"/>
  <c r="AQ20" i="122"/>
  <c r="AO40" i="113"/>
  <c r="AU16" i="109"/>
  <c r="AY11" i="119"/>
  <c r="AY14" i="119"/>
  <c r="AX30" i="109"/>
  <c r="AX31" i="109"/>
  <c r="AN41" i="113"/>
  <c r="AO22" i="122"/>
  <c r="AX9" i="109"/>
  <c r="AX6" i="113"/>
  <c r="AU28" i="113"/>
  <c r="AU17" i="113"/>
  <c r="AR5" i="123"/>
  <c r="AR23" i="113"/>
  <c r="AT46" i="109"/>
  <c r="AZ12" i="109"/>
  <c r="AZ6" i="119"/>
  <c r="AZ5" i="109"/>
  <c r="AZ6" i="109" s="1"/>
  <c r="AZ8" i="119"/>
  <c r="AZ16" i="119" s="1"/>
  <c r="AZ43" i="116"/>
  <c r="AM10" i="122"/>
  <c r="AN5" i="122"/>
  <c r="AL27" i="113"/>
  <c r="AW17" i="109"/>
  <c r="AT36" i="113"/>
  <c r="AT35" i="113" s="1"/>
  <c r="AV12" i="113"/>
  <c r="AV13" i="113" s="1"/>
  <c r="BA31" i="116"/>
  <c r="AZ7" i="109"/>
  <c r="AZ7" i="113" s="1"/>
  <c r="BA34" i="116"/>
  <c r="BA35" i="116" s="1"/>
  <c r="BA42" i="116" s="1"/>
  <c r="AQ6" i="123"/>
  <c r="AS8" i="122"/>
  <c r="AR6" i="123" s="1"/>
  <c r="AW28" i="113"/>
  <c r="AS19" i="113"/>
  <c r="AQ22" i="113"/>
  <c r="AQ48" i="109"/>
  <c r="AL24" i="122"/>
  <c r="AK30" i="113"/>
  <c r="AK29" i="113" s="1"/>
  <c r="AV38" i="109"/>
  <c r="AW17" i="113"/>
  <c r="AS39" i="109"/>
  <c r="AS12" i="113"/>
  <c r="AS13" i="113" s="1"/>
  <c r="AU38" i="109" l="1"/>
  <c r="AU19" i="113" s="1"/>
  <c r="AW38" i="109"/>
  <c r="AW19" i="113" s="1"/>
  <c r="AS43" i="109"/>
  <c r="AS20" i="113"/>
  <c r="AV19" i="113"/>
  <c r="AW13" i="122"/>
  <c r="BA12" i="109"/>
  <c r="BA5" i="109"/>
  <c r="BA6" i="109" s="1"/>
  <c r="BA6" i="119"/>
  <c r="BA8" i="119"/>
  <c r="BA16" i="119" s="1"/>
  <c r="BA13" i="109" s="1"/>
  <c r="BA43" i="116"/>
  <c r="AV39" i="109"/>
  <c r="AR8" i="123"/>
  <c r="AR19" i="123" s="1"/>
  <c r="AX14" i="109"/>
  <c r="AX35" i="109"/>
  <c r="AY6" i="122"/>
  <c r="AX9" i="113"/>
  <c r="AU11" i="113"/>
  <c r="AU17" i="109"/>
  <c r="AX32" i="109"/>
  <c r="AO5" i="122"/>
  <c r="AN10" i="122"/>
  <c r="AM27" i="113"/>
  <c r="AZ13" i="109"/>
  <c r="AT22" i="113"/>
  <c r="AT48" i="109"/>
  <c r="AY19" i="119"/>
  <c r="AY32" i="109" s="1"/>
  <c r="AY25" i="109"/>
  <c r="AY27" i="109" s="1"/>
  <c r="AX17" i="113"/>
  <c r="AX13" i="122"/>
  <c r="AS36" i="113"/>
  <c r="AS35" i="113" s="1"/>
  <c r="BB31" i="116"/>
  <c r="BA7" i="109"/>
  <c r="BA7" i="113" s="1"/>
  <c r="BB34" i="116"/>
  <c r="AM24" i="122"/>
  <c r="AL30" i="113"/>
  <c r="AL29" i="113" s="1"/>
  <c r="AZ9" i="109"/>
  <c r="AZ6" i="113"/>
  <c r="AY30" i="109"/>
  <c r="AY31" i="109"/>
  <c r="AR20" i="122"/>
  <c r="AQ21" i="122"/>
  <c r="AP40" i="113"/>
  <c r="E20" i="122"/>
  <c r="E40" i="113" s="1"/>
  <c r="AQ5" i="123"/>
  <c r="AQ23" i="113"/>
  <c r="AW39" i="109"/>
  <c r="AW12" i="113"/>
  <c r="AW13" i="113" s="1"/>
  <c r="AZ11" i="119"/>
  <c r="AZ14" i="119"/>
  <c r="AO41" i="113"/>
  <c r="AP22" i="122"/>
  <c r="AY35" i="109"/>
  <c r="AZ6" i="122"/>
  <c r="AY14" i="109"/>
  <c r="AY16" i="109" s="1"/>
  <c r="AY17" i="109" s="1"/>
  <c r="AY9" i="113"/>
  <c r="AV13" i="122" l="1"/>
  <c r="AV16" i="122" s="1"/>
  <c r="AX37" i="109"/>
  <c r="AX38" i="109" s="1"/>
  <c r="BB7" i="109"/>
  <c r="F31" i="116"/>
  <c r="AW7" i="123"/>
  <c r="AX16" i="122"/>
  <c r="AW33" i="113"/>
  <c r="AU39" i="109"/>
  <c r="AU12" i="113"/>
  <c r="AU13" i="113" s="1"/>
  <c r="AV43" i="109"/>
  <c r="AV20" i="113"/>
  <c r="BA9" i="109"/>
  <c r="BA6" i="113"/>
  <c r="AT5" i="123"/>
  <c r="AT23" i="113"/>
  <c r="AX16" i="109"/>
  <c r="AZ25" i="109"/>
  <c r="AZ27" i="109" s="1"/>
  <c r="AZ19" i="119"/>
  <c r="AZ32" i="109" s="1"/>
  <c r="AY12" i="113"/>
  <c r="AY13" i="113" s="1"/>
  <c r="AZ31" i="109"/>
  <c r="AZ30" i="109"/>
  <c r="AP41" i="113"/>
  <c r="E21" i="122"/>
  <c r="E41" i="113" s="1"/>
  <c r="AQ22" i="122"/>
  <c r="E22" i="122" s="1"/>
  <c r="BB35" i="116"/>
  <c r="F34" i="116"/>
  <c r="AN24" i="122"/>
  <c r="AM30" i="113"/>
  <c r="AM29" i="113" s="1"/>
  <c r="AU7" i="123"/>
  <c r="AX28" i="113"/>
  <c r="AW16" i="122"/>
  <c r="AV33" i="113"/>
  <c r="AT8" i="122"/>
  <c r="AS46" i="109"/>
  <c r="AY37" i="109"/>
  <c r="AY18" i="113" s="1"/>
  <c r="AY11" i="113"/>
  <c r="AY28" i="113"/>
  <c r="AW43" i="109"/>
  <c r="AW20" i="113"/>
  <c r="AQ8" i="123"/>
  <c r="AR21" i="122"/>
  <c r="AS20" i="122"/>
  <c r="AQ40" i="113"/>
  <c r="AZ35" i="109"/>
  <c r="BA6" i="122"/>
  <c r="AZ14" i="109"/>
  <c r="AZ16" i="109" s="1"/>
  <c r="AZ9" i="113"/>
  <c r="AY17" i="113"/>
  <c r="AP5" i="122"/>
  <c r="AO10" i="122"/>
  <c r="AN27" i="113"/>
  <c r="BA14" i="119"/>
  <c r="BA11" i="119"/>
  <c r="AU33" i="113" l="1"/>
  <c r="AV7" i="123"/>
  <c r="AY38" i="109"/>
  <c r="AY19" i="113" s="1"/>
  <c r="AX18" i="113"/>
  <c r="AZ11" i="113"/>
  <c r="AZ17" i="109"/>
  <c r="BA25" i="109"/>
  <c r="BA27" i="109" s="1"/>
  <c r="BA19" i="119"/>
  <c r="BA32" i="109" s="1"/>
  <c r="AQ41" i="113"/>
  <c r="AR22" i="122"/>
  <c r="AY39" i="109"/>
  <c r="C7" i="109"/>
  <c r="C7" i="113" s="1"/>
  <c r="BB7" i="113"/>
  <c r="F7" i="109"/>
  <c r="F7" i="113" s="1"/>
  <c r="AZ28" i="113"/>
  <c r="AS21" i="122"/>
  <c r="AR40" i="113"/>
  <c r="AO24" i="122"/>
  <c r="AN30" i="113"/>
  <c r="AN29" i="113" s="1"/>
  <c r="AS22" i="113"/>
  <c r="AS48" i="109"/>
  <c r="AT20" i="122" s="1"/>
  <c r="AV36" i="113"/>
  <c r="AV35" i="113" s="1"/>
  <c r="AU36" i="113"/>
  <c r="AU35" i="113" s="1"/>
  <c r="BA31" i="109"/>
  <c r="BA30" i="109"/>
  <c r="AQ5" i="122"/>
  <c r="AP10" i="122"/>
  <c r="AO27" i="113"/>
  <c r="AW46" i="109"/>
  <c r="AS6" i="123"/>
  <c r="AU8" i="122"/>
  <c r="AT6" i="123" s="1"/>
  <c r="AT8" i="123" s="1"/>
  <c r="AT19" i="123" s="1"/>
  <c r="C35" i="116"/>
  <c r="BB42" i="116"/>
  <c r="F35" i="116"/>
  <c r="AZ37" i="109"/>
  <c r="AZ18" i="113" s="1"/>
  <c r="AY13" i="122"/>
  <c r="AX11" i="113"/>
  <c r="AX17" i="109"/>
  <c r="BA35" i="109"/>
  <c r="BB6" i="122"/>
  <c r="BA14" i="109"/>
  <c r="BA16" i="109" s="1"/>
  <c r="BA17" i="109" s="1"/>
  <c r="BA9" i="113"/>
  <c r="AW36" i="113"/>
  <c r="AW35" i="113" s="1"/>
  <c r="AX19" i="113"/>
  <c r="AQ19" i="123"/>
  <c r="AZ17" i="113"/>
  <c r="AV46" i="109"/>
  <c r="AU43" i="109"/>
  <c r="AU20" i="113"/>
  <c r="AZ13" i="122" l="1"/>
  <c r="AY7" i="123" s="1"/>
  <c r="AZ38" i="109"/>
  <c r="AZ19" i="113" s="1"/>
  <c r="AY43" i="109"/>
  <c r="AY20" i="113"/>
  <c r="BA17" i="113"/>
  <c r="BA37" i="109"/>
  <c r="BA18" i="113" s="1"/>
  <c r="AT21" i="122"/>
  <c r="AU20" i="122"/>
  <c r="AS40" i="113"/>
  <c r="AZ12" i="113"/>
  <c r="AZ13" i="113" s="1"/>
  <c r="AU46" i="109"/>
  <c r="AV8" i="122"/>
  <c r="AX7" i="123"/>
  <c r="AY16" i="122"/>
  <c r="AX33" i="113"/>
  <c r="AW22" i="113"/>
  <c r="AW48" i="109"/>
  <c r="BA12" i="113"/>
  <c r="BA13" i="113" s="1"/>
  <c r="AX39" i="109"/>
  <c r="AX12" i="113"/>
  <c r="AX13" i="113" s="1"/>
  <c r="BA11" i="113"/>
  <c r="AR41" i="113"/>
  <c r="AS22" i="122"/>
  <c r="AR5" i="122"/>
  <c r="AQ10" i="122"/>
  <c r="AP27" i="113"/>
  <c r="E5" i="122"/>
  <c r="E27" i="113" s="1"/>
  <c r="D10" i="7" s="1"/>
  <c r="AV22" i="113"/>
  <c r="AV48" i="109"/>
  <c r="BA28" i="113"/>
  <c r="BB6" i="119"/>
  <c r="BB5" i="109"/>
  <c r="BB12" i="109"/>
  <c r="C42" i="116"/>
  <c r="C43" i="116" s="1"/>
  <c r="BB8" i="119"/>
  <c r="BB43" i="116"/>
  <c r="F42" i="116"/>
  <c r="F43" i="116" s="1"/>
  <c r="AY33" i="113"/>
  <c r="AP24" i="122"/>
  <c r="AO30" i="113"/>
  <c r="AO29" i="113" s="1"/>
  <c r="AS5" i="123"/>
  <c r="AS23" i="113"/>
  <c r="AZ39" i="109" l="1"/>
  <c r="BA13" i="122"/>
  <c r="AZ16" i="122"/>
  <c r="AY36" i="113" s="1"/>
  <c r="AY35" i="113" s="1"/>
  <c r="AX36" i="113"/>
  <c r="AX35" i="113" s="1"/>
  <c r="AU22" i="113"/>
  <c r="AU48" i="109"/>
  <c r="AV20" i="122" s="1"/>
  <c r="AU21" i="122"/>
  <c r="AT40" i="113"/>
  <c r="AW5" i="123"/>
  <c r="AW23" i="113"/>
  <c r="AS41" i="113"/>
  <c r="AT22" i="122"/>
  <c r="BB16" i="119"/>
  <c r="F8" i="119"/>
  <c r="BB14" i="119"/>
  <c r="BB11" i="119"/>
  <c r="F6" i="119"/>
  <c r="BA16" i="122"/>
  <c r="AZ7" i="123"/>
  <c r="AZ33" i="113"/>
  <c r="AV5" i="123"/>
  <c r="AV23" i="113"/>
  <c r="AQ24" i="122"/>
  <c r="E24" i="122" s="1"/>
  <c r="AP30" i="113"/>
  <c r="AP29" i="113" s="1"/>
  <c r="E10" i="122"/>
  <c r="E30" i="113" s="1"/>
  <c r="E29" i="113" s="1"/>
  <c r="AX43" i="109"/>
  <c r="AX20" i="113"/>
  <c r="AZ43" i="109"/>
  <c r="AZ20" i="113"/>
  <c r="C5" i="109"/>
  <c r="BB6" i="109"/>
  <c r="F5" i="109"/>
  <c r="AS8" i="123"/>
  <c r="C12" i="109"/>
  <c r="F12" i="109"/>
  <c r="AS5" i="122"/>
  <c r="AR10" i="122"/>
  <c r="AQ27" i="113"/>
  <c r="AU6" i="123"/>
  <c r="AW8" i="122"/>
  <c r="BA38" i="109"/>
  <c r="AY46" i="109"/>
  <c r="AS19" i="123" l="1"/>
  <c r="AZ36" i="113"/>
  <c r="AZ35" i="113" s="1"/>
  <c r="AT41" i="113"/>
  <c r="AU22" i="122"/>
  <c r="AY22" i="113"/>
  <c r="AY48" i="109"/>
  <c r="AZ46" i="109"/>
  <c r="BB13" i="109"/>
  <c r="C16" i="119"/>
  <c r="F16" i="119"/>
  <c r="BA19" i="113"/>
  <c r="BB13" i="122"/>
  <c r="BA39" i="109"/>
  <c r="AR24" i="122"/>
  <c r="AQ30" i="113"/>
  <c r="AQ29" i="113" s="1"/>
  <c r="BB9" i="109"/>
  <c r="C6" i="109"/>
  <c r="C6" i="113" s="1"/>
  <c r="BB6" i="113"/>
  <c r="F6" i="109"/>
  <c r="F6" i="113" s="1"/>
  <c r="AX46" i="109"/>
  <c r="BB30" i="109"/>
  <c r="BB31" i="109"/>
  <c r="F11" i="119"/>
  <c r="AU5" i="123"/>
  <c r="AU23" i="113"/>
  <c r="AV6" i="123"/>
  <c r="AV8" i="123" s="1"/>
  <c r="AV19" i="123" s="1"/>
  <c r="AX8" i="122"/>
  <c r="AW6" i="123" s="1"/>
  <c r="AW8" i="123" s="1"/>
  <c r="AW19" i="123" s="1"/>
  <c r="AS10" i="122"/>
  <c r="AT5" i="122"/>
  <c r="AR27" i="113"/>
  <c r="BB25" i="109"/>
  <c r="BB19" i="119"/>
  <c r="C14" i="119"/>
  <c r="F14" i="119"/>
  <c r="AV21" i="122"/>
  <c r="AW20" i="122"/>
  <c r="AU40" i="113"/>
  <c r="AY8" i="122" l="1"/>
  <c r="AZ8" i="122" s="1"/>
  <c r="AT10" i="122"/>
  <c r="AU5" i="122"/>
  <c r="AS27" i="113"/>
  <c r="AX22" i="113"/>
  <c r="AX48" i="109"/>
  <c r="BC6" i="122"/>
  <c r="BB14" i="109"/>
  <c r="BB16" i="109" s="1"/>
  <c r="BB35" i="109"/>
  <c r="C9" i="109"/>
  <c r="C9" i="113" s="1"/>
  <c r="B7" i="7" s="1"/>
  <c r="BB9" i="113"/>
  <c r="F9" i="109"/>
  <c r="F9" i="113" s="1"/>
  <c r="E7" i="7" s="1"/>
  <c r="C13" i="109"/>
  <c r="F13" i="109"/>
  <c r="AU41" i="113"/>
  <c r="AV22" i="122"/>
  <c r="BB27" i="109"/>
  <c r="C25" i="109"/>
  <c r="F25" i="109"/>
  <c r="AS24" i="122"/>
  <c r="AR30" i="113"/>
  <c r="AR29" i="113" s="1"/>
  <c r="C30" i="109"/>
  <c r="F30" i="109"/>
  <c r="AX20" i="122"/>
  <c r="AW21" i="122"/>
  <c r="AV40" i="113"/>
  <c r="BB32" i="109"/>
  <c r="C19" i="119"/>
  <c r="F19" i="119"/>
  <c r="C31" i="109"/>
  <c r="F31" i="109"/>
  <c r="BA7" i="123"/>
  <c r="BB16" i="122"/>
  <c r="BA33" i="113"/>
  <c r="AU8" i="123"/>
  <c r="AZ22" i="113"/>
  <c r="AZ48" i="109"/>
  <c r="AX6" i="123"/>
  <c r="BA43" i="109"/>
  <c r="BA20" i="113"/>
  <c r="AY5" i="123"/>
  <c r="AY23" i="113"/>
  <c r="BB37" i="109" l="1"/>
  <c r="AY6" i="123"/>
  <c r="AY8" i="123" s="1"/>
  <c r="AY19" i="123" s="1"/>
  <c r="BA8" i="122"/>
  <c r="AZ6" i="123" s="1"/>
  <c r="F7" i="7"/>
  <c r="F6" i="122"/>
  <c r="F28" i="113" s="1"/>
  <c r="BB28" i="113"/>
  <c r="C16" i="109"/>
  <c r="C11" i="113" s="1"/>
  <c r="BB11" i="113"/>
  <c r="F16" i="109"/>
  <c r="F11" i="113" s="1"/>
  <c r="C14" i="109"/>
  <c r="F14" i="109"/>
  <c r="AX21" i="122"/>
  <c r="AY20" i="122"/>
  <c r="AW40" i="113"/>
  <c r="C27" i="109"/>
  <c r="C17" i="113" s="1"/>
  <c r="BB17" i="113"/>
  <c r="BB38" i="109"/>
  <c r="F27" i="109"/>
  <c r="F17" i="113" s="1"/>
  <c r="AU19" i="123"/>
  <c r="AV5" i="122" s="1"/>
  <c r="C32" i="109"/>
  <c r="F32" i="109"/>
  <c r="BB17" i="109"/>
  <c r="AX5" i="123"/>
  <c r="AX23" i="113"/>
  <c r="AU10" i="122"/>
  <c r="AT27" i="113"/>
  <c r="BA36" i="113"/>
  <c r="BA35" i="113" s="1"/>
  <c r="AV41" i="113"/>
  <c r="AW22" i="122"/>
  <c r="BA46" i="109"/>
  <c r="BB8" i="122"/>
  <c r="BA6" i="123" s="1"/>
  <c r="AZ5" i="123"/>
  <c r="AZ23" i="113"/>
  <c r="C37" i="109"/>
  <c r="C18" i="113" s="1"/>
  <c r="BB18" i="113"/>
  <c r="F37" i="109"/>
  <c r="F18" i="113" s="1"/>
  <c r="C35" i="109"/>
  <c r="E35" i="109"/>
  <c r="F35" i="109"/>
  <c r="AT24" i="122"/>
  <c r="AS30" i="113"/>
  <c r="AS29" i="113" s="1"/>
  <c r="AZ8" i="123" l="1"/>
  <c r="AZ19" i="123" s="1"/>
  <c r="C38" i="109"/>
  <c r="C19" i="113" s="1"/>
  <c r="BB19" i="113"/>
  <c r="F38" i="109"/>
  <c r="F19" i="113" s="1"/>
  <c r="AZ20" i="122"/>
  <c r="AY21" i="122"/>
  <c r="AX40" i="113"/>
  <c r="AV10" i="122"/>
  <c r="AW5" i="122"/>
  <c r="AU27" i="113"/>
  <c r="AX8" i="123"/>
  <c r="AW41" i="113"/>
  <c r="AX22" i="122"/>
  <c r="AU24" i="122"/>
  <c r="AT30" i="113"/>
  <c r="AT29" i="113" s="1"/>
  <c r="BB39" i="109"/>
  <c r="C17" i="109"/>
  <c r="C12" i="113" s="1"/>
  <c r="C13" i="113" s="1"/>
  <c r="BB12" i="113"/>
  <c r="BB13" i="113" s="1"/>
  <c r="F17" i="109"/>
  <c r="F12" i="113" s="1"/>
  <c r="F13" i="113" s="1"/>
  <c r="BA22" i="113"/>
  <c r="BA48" i="109"/>
  <c r="BC13" i="122"/>
  <c r="AV24" i="122" l="1"/>
  <c r="AU30" i="113"/>
  <c r="AU29" i="113" s="1"/>
  <c r="BB43" i="109"/>
  <c r="C39" i="109"/>
  <c r="C20" i="113" s="1"/>
  <c r="B8" i="7" s="1"/>
  <c r="BB20" i="113"/>
  <c r="F39" i="109"/>
  <c r="F20" i="113" s="1"/>
  <c r="E8" i="7" s="1"/>
  <c r="AX5" i="122"/>
  <c r="AW10" i="122"/>
  <c r="AV27" i="113"/>
  <c r="BA20" i="122"/>
  <c r="AZ21" i="122"/>
  <c r="AY40" i="113"/>
  <c r="BB7" i="123"/>
  <c r="BC16" i="122"/>
  <c r="F13" i="122"/>
  <c r="F33" i="113" s="1"/>
  <c r="BB33" i="113"/>
  <c r="AX19" i="123"/>
  <c r="BA5" i="123"/>
  <c r="BA8" i="123" s="1"/>
  <c r="BA19" i="123" s="1"/>
  <c r="BA23" i="113"/>
  <c r="AX41" i="113"/>
  <c r="AY22" i="122"/>
  <c r="AY41" i="113" l="1"/>
  <c r="AZ22" i="122"/>
  <c r="AX10" i="122"/>
  <c r="AY5" i="122"/>
  <c r="AW27" i="113"/>
  <c r="BB46" i="109"/>
  <c r="BC8" i="122"/>
  <c r="C43" i="109"/>
  <c r="E43" i="109"/>
  <c r="F43" i="109"/>
  <c r="F16" i="122"/>
  <c r="F36" i="113" s="1"/>
  <c r="F35" i="113" s="1"/>
  <c r="BB36" i="113"/>
  <c r="BB35" i="113" s="1"/>
  <c r="BA21" i="122"/>
  <c r="BB20" i="122"/>
  <c r="AZ40" i="113"/>
  <c r="C7" i="123"/>
  <c r="E7" i="123"/>
  <c r="F7" i="123"/>
  <c r="AW24" i="122"/>
  <c r="AV30" i="113"/>
  <c r="AV29" i="113" s="1"/>
  <c r="F8" i="7"/>
  <c r="BB21" i="122" l="1"/>
  <c r="BA40" i="113"/>
  <c r="F8" i="122"/>
  <c r="BB6" i="123"/>
  <c r="AX24" i="122"/>
  <c r="AW30" i="113"/>
  <c r="AW29" i="113" s="1"/>
  <c r="AZ5" i="122"/>
  <c r="AY10" i="122"/>
  <c r="AX27" i="113"/>
  <c r="AZ41" i="113"/>
  <c r="BA22" i="122"/>
  <c r="C46" i="109"/>
  <c r="C22" i="113" s="1"/>
  <c r="BB22" i="113"/>
  <c r="E46" i="109"/>
  <c r="E22" i="113" s="1"/>
  <c r="F46" i="109"/>
  <c r="F22" i="113" s="1"/>
  <c r="BB48" i="109"/>
  <c r="BC20" i="122" s="1"/>
  <c r="BC21" i="122" l="1"/>
  <c r="F20" i="122"/>
  <c r="F40" i="113" s="1"/>
  <c r="BB40" i="113"/>
  <c r="BA5" i="122"/>
  <c r="AZ10" i="122"/>
  <c r="AY27" i="113"/>
  <c r="BB5" i="123"/>
  <c r="C48" i="109"/>
  <c r="C23" i="113" s="1"/>
  <c r="B9" i="7" s="1"/>
  <c r="BB23" i="113"/>
  <c r="E48" i="109"/>
  <c r="E23" i="113" s="1"/>
  <c r="D9" i="7" s="1"/>
  <c r="F48" i="109"/>
  <c r="F23" i="113" s="1"/>
  <c r="E9" i="7" s="1"/>
  <c r="AY24" i="122"/>
  <c r="AX30" i="113"/>
  <c r="AX29" i="113" s="1"/>
  <c r="C6" i="123"/>
  <c r="E6" i="123"/>
  <c r="F6" i="123"/>
  <c r="BA41" i="113"/>
  <c r="BB22" i="122"/>
  <c r="F9" i="7" l="1"/>
  <c r="BA10" i="122"/>
  <c r="BB5" i="122"/>
  <c r="AZ27" i="113"/>
  <c r="BB8" i="123"/>
  <c r="C5" i="123"/>
  <c r="E5" i="123"/>
  <c r="F5" i="123"/>
  <c r="AZ24" i="122"/>
  <c r="AY30" i="113"/>
  <c r="AY29" i="113" s="1"/>
  <c r="F21" i="122"/>
  <c r="F41" i="113" s="1"/>
  <c r="BB41" i="113"/>
  <c r="BC22" i="122"/>
  <c r="F22" i="122" s="1"/>
  <c r="BB10" i="122" l="1"/>
  <c r="BA27" i="113"/>
  <c r="BB19" i="123"/>
  <c r="BC5" i="122" s="1"/>
  <c r="C8" i="123"/>
  <c r="E8" i="123"/>
  <c r="F8" i="123"/>
  <c r="BA24" i="122"/>
  <c r="AZ30" i="113"/>
  <c r="AZ29" i="113" s="1"/>
  <c r="BC10" i="122" l="1"/>
  <c r="F5" i="122"/>
  <c r="F27" i="113" s="1"/>
  <c r="E10" i="7" s="1"/>
  <c r="BB27" i="113"/>
  <c r="C19" i="123"/>
  <c r="E19" i="123"/>
  <c r="F19" i="123"/>
  <c r="BB24" i="122"/>
  <c r="BA30" i="113"/>
  <c r="BA29" i="113" s="1"/>
  <c r="F10" i="7" l="1"/>
  <c r="BC24" i="122"/>
  <c r="F24" i="122" s="1"/>
  <c r="F10" i="122"/>
  <c r="F30" i="113" s="1"/>
  <c r="F29" i="113" s="1"/>
  <c r="BB30" i="113"/>
  <c r="BB29" i="113" s="1"/>
</calcChain>
</file>

<file path=xl/sharedStrings.xml><?xml version="1.0" encoding="utf-8"?>
<sst xmlns="http://schemas.openxmlformats.org/spreadsheetml/2006/main" count="672" uniqueCount="239">
  <si>
    <t>Gross Profit</t>
  </si>
  <si>
    <t>Net Income</t>
  </si>
  <si>
    <t>Revenue</t>
  </si>
  <si>
    <t>Gross Margin</t>
  </si>
  <si>
    <t>EBITDA</t>
  </si>
  <si>
    <t>Notes</t>
  </si>
  <si>
    <t>Fixed Assets</t>
  </si>
  <si>
    <t>Type</t>
  </si>
  <si>
    <t>Location</t>
  </si>
  <si>
    <t>Start Date</t>
  </si>
  <si>
    <t>End Date</t>
  </si>
  <si>
    <t>Total</t>
  </si>
  <si>
    <t>Accounts Receivable</t>
  </si>
  <si>
    <t>Other Assets</t>
  </si>
  <si>
    <t>Liabilities</t>
  </si>
  <si>
    <t>Accounts Payable</t>
  </si>
  <si>
    <t>Total Liabilities</t>
  </si>
  <si>
    <t>Equity</t>
  </si>
  <si>
    <t>Total Equity</t>
  </si>
  <si>
    <t>Cash</t>
  </si>
  <si>
    <t>Department</t>
  </si>
  <si>
    <t>Total Revenue</t>
  </si>
  <si>
    <t>Balance Sheet</t>
  </si>
  <si>
    <t>Retained Earnings</t>
  </si>
  <si>
    <t>Investing Cash Flow</t>
  </si>
  <si>
    <t>Financing Cash Flow</t>
  </si>
  <si>
    <t>Net Change in Cash</t>
  </si>
  <si>
    <t>plug</t>
  </si>
  <si>
    <t>First model month end</t>
  </si>
  <si>
    <t>Total Operating Cash Flow</t>
  </si>
  <si>
    <t>Total Investing Cash Flow</t>
  </si>
  <si>
    <t>Total Financing Cash Flow</t>
  </si>
  <si>
    <t>Health care / employee</t>
  </si>
  <si>
    <t>Payroll tax % of salary</t>
  </si>
  <si>
    <t>Name</t>
  </si>
  <si>
    <t>Title</t>
  </si>
  <si>
    <t>CA</t>
  </si>
  <si>
    <t>Full Time</t>
  </si>
  <si>
    <t>Corporate</t>
  </si>
  <si>
    <t>CEO</t>
  </si>
  <si>
    <t>Finance</t>
  </si>
  <si>
    <t>Office Manager</t>
  </si>
  <si>
    <t>Staffing</t>
  </si>
  <si>
    <t>CFO</t>
  </si>
  <si>
    <t xml:space="preserve"> </t>
  </si>
  <si>
    <t>Interest Expense</t>
  </si>
  <si>
    <t/>
  </si>
  <si>
    <t>Net Ordinary Income (EBITDA)</t>
  </si>
  <si>
    <t>Yearly</t>
  </si>
  <si>
    <t>Lookup</t>
  </si>
  <si>
    <t>Assets</t>
  </si>
  <si>
    <t>Total Assets</t>
  </si>
  <si>
    <t>Other Liabilities</t>
  </si>
  <si>
    <t>Other Revenue</t>
  </si>
  <si>
    <t>Operating Expenses</t>
  </si>
  <si>
    <t>Total Operating Expenses</t>
  </si>
  <si>
    <t>Monthly-&gt;</t>
  </si>
  <si>
    <t>Hosting</t>
  </si>
  <si>
    <t>Other Cost of Revenue</t>
  </si>
  <si>
    <t>Total Cost of Revenue</t>
  </si>
  <si>
    <t>Product Development</t>
  </si>
  <si>
    <t>Customer Support</t>
  </si>
  <si>
    <t>Sales &amp; Marketing</t>
  </si>
  <si>
    <t>General &amp; Administrative</t>
  </si>
  <si>
    <t>Taxes</t>
  </si>
  <si>
    <t>Depreciation Expense</t>
  </si>
  <si>
    <t>Amortization Expense</t>
  </si>
  <si>
    <t>Company Debt</t>
  </si>
  <si>
    <t>Total Liabilities &amp; Equity</t>
  </si>
  <si>
    <t>Hosting Fees</t>
  </si>
  <si>
    <t>Setup &amp; Admin / mo</t>
  </si>
  <si>
    <t>Servers / mo</t>
  </si>
  <si>
    <t>Software / mo</t>
  </si>
  <si>
    <t>User Base</t>
  </si>
  <si>
    <t>Business Development</t>
  </si>
  <si>
    <t>Sr. Engineer</t>
  </si>
  <si>
    <t>Jr. Engineer</t>
  </si>
  <si>
    <t>Cust Support Rep</t>
  </si>
  <si>
    <t>Annual increase</t>
  </si>
  <si>
    <t>Business Analyst / Mgr</t>
  </si>
  <si>
    <t>Bus Dev Manager</t>
  </si>
  <si>
    <t>Total engineers by quarter</t>
  </si>
  <si>
    <t>Ratio of Jr. to Sr. Engineers</t>
  </si>
  <si>
    <t>Other Payroll</t>
  </si>
  <si>
    <t>Headcount</t>
  </si>
  <si>
    <t>Other Corporate</t>
  </si>
  <si>
    <t>Business Analysts / Mgrs</t>
  </si>
  <si>
    <t>Requests / cust support rep / day</t>
  </si>
  <si>
    <t>Salary/Bonus</t>
  </si>
  <si>
    <t>COO</t>
  </si>
  <si>
    <t>CTO</t>
  </si>
  <si>
    <t>VP of Product</t>
  </si>
  <si>
    <t>Product Manager 1</t>
  </si>
  <si>
    <t>Management</t>
  </si>
  <si>
    <t>Controller</t>
  </si>
  <si>
    <t>Product</t>
  </si>
  <si>
    <t>Sr Accountant 1</t>
  </si>
  <si>
    <t>Jr Accountant 1</t>
  </si>
  <si>
    <t>HR Manager</t>
  </si>
  <si>
    <t>General Counsel</t>
  </si>
  <si>
    <t>CMO / VP of Sales</t>
  </si>
  <si>
    <t>Payroll</t>
  </si>
  <si>
    <t>Total Headcount</t>
  </si>
  <si>
    <t>Total Payroll</t>
  </si>
  <si>
    <t>Staff (incl benefits, taxes)</t>
  </si>
  <si>
    <t>Other Prod Development Expense</t>
  </si>
  <si>
    <t>Total Product Development</t>
  </si>
  <si>
    <t>Total Sales &amp; Marketing</t>
  </si>
  <si>
    <t>IT Manager</t>
  </si>
  <si>
    <t>Marketing $</t>
  </si>
  <si>
    <t>Rent</t>
  </si>
  <si>
    <t>Rent / employee / mo</t>
  </si>
  <si>
    <t>Rent increase for expansion</t>
  </si>
  <si>
    <t>IT and phones</t>
  </si>
  <si>
    <t>T&amp;E</t>
  </si>
  <si>
    <t>T&amp;E as % of all payroll</t>
  </si>
  <si>
    <t>Legal</t>
  </si>
  <si>
    <t>Finance (incl audit)</t>
  </si>
  <si>
    <t>Legal $</t>
  </si>
  <si>
    <t>Finance $ (incl audit)</t>
  </si>
  <si>
    <t>Other G&amp;A</t>
  </si>
  <si>
    <t>Total General &amp; Administrative</t>
  </si>
  <si>
    <t>Insurance</t>
  </si>
  <si>
    <t>Dept Budgets (excl staff)</t>
  </si>
  <si>
    <t>Rates</t>
  </si>
  <si>
    <t>Cost per mille (CPM)</t>
  </si>
  <si>
    <t>Click-through rate (CTR)</t>
  </si>
  <si>
    <t>Outbound Marketing</t>
  </si>
  <si>
    <t>Financial Projection Assumptions</t>
  </si>
  <si>
    <t>Conversion rate</t>
  </si>
  <si>
    <t>Inbound Marketing</t>
  </si>
  <si>
    <t>Channel Partner Marketing</t>
  </si>
  <si>
    <t>Active partnerships</t>
  </si>
  <si>
    <t>Partnership info</t>
  </si>
  <si>
    <t>Outbound Marketing (e.g. banner ads)</t>
  </si>
  <si>
    <t>Other benefits / employee</t>
  </si>
  <si>
    <t>Inbound Marketing (e.g. social / twitter)</t>
  </si>
  <si>
    <t>ALL INPUTS IN YELLOW</t>
  </si>
  <si>
    <t>Company name</t>
  </si>
  <si>
    <t>Monthly spend in each quarter</t>
  </si>
  <si>
    <t>Monthly spend</t>
  </si>
  <si>
    <t>Sales price</t>
  </si>
  <si>
    <t>Expense Assumptions</t>
  </si>
  <si>
    <t>Summary</t>
  </si>
  <si>
    <t>Direct costs as % of sales price</t>
  </si>
  <si>
    <t>OB marketing spend</t>
  </si>
  <si>
    <t>Impressions purchased</t>
  </si>
  <si>
    <t>User click-throughs</t>
  </si>
  <si>
    <t>OB marketing sales</t>
  </si>
  <si>
    <t>OB marketing CAC (cust acq cost)</t>
  </si>
  <si>
    <t>IB marketing spend</t>
  </si>
  <si>
    <t>IB traffic</t>
  </si>
  <si>
    <t>Monthly traffic (site visits)</t>
  </si>
  <si>
    <t>IB marketing sales</t>
  </si>
  <si>
    <t>IB marketing CAC (cust acq cost)</t>
  </si>
  <si>
    <t>$ / sale to partner (fees)</t>
  </si>
  <si>
    <t>Partnership sales</t>
  </si>
  <si>
    <t>New partnerships in period</t>
  </si>
  <si>
    <t>From partnerships in ramp-up</t>
  </si>
  <si>
    <t>From mature partnerships</t>
  </si>
  <si>
    <t>Mature partnership annual growth (after ramp-up)</t>
  </si>
  <si>
    <t>Partnership fees</t>
  </si>
  <si>
    <t>Partnership marketing CAC (cust acq cost)</t>
  </si>
  <si>
    <t>Partnership marketing sales</t>
  </si>
  <si>
    <t>Virality</t>
  </si>
  <si>
    <t>Coefficent of virality (k)</t>
  </si>
  <si>
    <t>User Base Assumptions</t>
  </si>
  <si>
    <t>Sales / mo for each new partnership (3 mo ramp-up)</t>
  </si>
  <si>
    <t>Simple user base growth / attrition</t>
  </si>
  <si>
    <t>New users</t>
  </si>
  <si>
    <t>Invitations sent</t>
  </si>
  <si>
    <t>Viral sales</t>
  </si>
  <si>
    <t>(assumed same for all years)</t>
  </si>
  <si>
    <t>Marketing Driven Sales</t>
  </si>
  <si>
    <t>User Base Driven Sales</t>
  </si>
  <si>
    <t>(assumes cycle time of 1 month)</t>
  </si>
  <si>
    <t>Total CAC (cust acq cost)</t>
  </si>
  <si>
    <t>Total Sales</t>
  </si>
  <si>
    <t>Cost of Revenue (COGS)</t>
  </si>
  <si>
    <t>Product Revenue</t>
  </si>
  <si>
    <t>Subscription length (mos, 1 if none)</t>
  </si>
  <si>
    <t>(if &gt; 1, sales price used as monthly subscription rate)</t>
  </si>
  <si>
    <t>Sales to existing users / yr</t>
  </si>
  <si>
    <t>Sales to User Base</t>
  </si>
  <si>
    <t>Total user base</t>
  </si>
  <si>
    <t>Existing user sales</t>
  </si>
  <si>
    <t>Total active partnerships</t>
  </si>
  <si>
    <t>Income Statement</t>
  </si>
  <si>
    <t>Ad Sales Revenue</t>
  </si>
  <si>
    <t>Page views / active user / mo</t>
  </si>
  <si>
    <t>Ad Revenue</t>
  </si>
  <si>
    <t>Ad Revenue / 1,000 page views</t>
  </si>
  <si>
    <t>Each Additional</t>
  </si>
  <si>
    <t>Starting</t>
  </si>
  <si>
    <t>Insurance as % of revenue</t>
  </si>
  <si>
    <t>Product Development $</t>
  </si>
  <si>
    <t>Salary Levels (incl bonus)</t>
  </si>
  <si>
    <t>Product Development Staff</t>
  </si>
  <si>
    <t>Unit Economics by Year</t>
  </si>
  <si>
    <t>Business Analyst / Mgr Staff</t>
  </si>
  <si>
    <t>Total BA's / Mgrs by quarter</t>
  </si>
  <si>
    <t>Other Staff</t>
  </si>
  <si>
    <t>Sales per bus dev mgr</t>
  </si>
  <si>
    <t>Cust support reqs / 1k sales</t>
  </si>
  <si>
    <t>fully loaded</t>
  </si>
  <si>
    <t>Direct Costs</t>
  </si>
  <si>
    <t>Other Marketing Expense</t>
  </si>
  <si>
    <t>minimum / yr:</t>
  </si>
  <si>
    <t>Common and Preferred Stock</t>
  </si>
  <si>
    <t>Operating Cash Flow</t>
  </si>
  <si>
    <t>Current Liabilities (change in A/P and other liabilities)</t>
  </si>
  <si>
    <t>Fully Loaded</t>
  </si>
  <si>
    <t>Other Assumptions</t>
  </si>
  <si>
    <t>A/R at month end as % of monthly revenue</t>
  </si>
  <si>
    <t>A/P at month end as % of monthly COGS and OPEX</t>
  </si>
  <si>
    <t>assets - liabilities &amp; equity (should be zero)</t>
  </si>
  <si>
    <t>Interest rate on company debt</t>
  </si>
  <si>
    <t>Balance Sheet and Other</t>
  </si>
  <si>
    <t>Corporate tax rate</t>
  </si>
  <si>
    <t>Deferred Tax Asset</t>
  </si>
  <si>
    <t>Other Expenses</t>
  </si>
  <si>
    <t>Total Other Expenses</t>
  </si>
  <si>
    <t>Current Assets (change in A/R, deferred taxes, other assets)</t>
  </si>
  <si>
    <t>Debt Financing</t>
  </si>
  <si>
    <t>Projection Results ($ 000's)</t>
  </si>
  <si>
    <t>Revenue Assumptions</t>
  </si>
  <si>
    <t>Summary Financials ($ 000's)</t>
  </si>
  <si>
    <t>Cash Flow Statement</t>
  </si>
  <si>
    <t>Sales Forecast</t>
  </si>
  <si>
    <t>Staff Expense</t>
  </si>
  <si>
    <t>Average users over last 12 months</t>
  </si>
  <si>
    <t>Payroll processing / employee</t>
  </si>
  <si>
    <t>monthly sales</t>
  </si>
  <si>
    <t>At 10k</t>
  </si>
  <si>
    <t>10k sales</t>
  </si>
  <si>
    <t>Total sales from all channels</t>
  </si>
  <si>
    <t>IT and phones / employee / yr</t>
  </si>
  <si>
    <t>Invitations sent / new user</t>
  </si>
  <si>
    <t>BobCo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</si>
</sst>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0.0%"/>
    <numFmt numFmtId="168" formatCode="#,##0,"/>
    <numFmt numFmtId="169" formatCode="#&quot;:1&quot;"/>
    <numFmt numFmtId="170" formatCode="&quot;Q&quot;#"/>
    <numFmt numFmtId="171" formatCode="#,##0,;#,##0,;&quot;-&quot;"/>
  </numFmts>
  <fonts count="3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color rgb="FF00008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sz val="10"/>
      <color theme="0" tint="-0.249977111117893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 applyNumberFormat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3" applyNumberFormat="0" applyAlignment="0" applyProtection="0"/>
    <xf numFmtId="0" fontId="22" fillId="12" borderId="14" applyNumberFormat="0" applyAlignment="0" applyProtection="0"/>
    <xf numFmtId="0" fontId="23" fillId="12" borderId="13" applyNumberFormat="0" applyAlignment="0" applyProtection="0"/>
    <xf numFmtId="0" fontId="24" fillId="0" borderId="15" applyNumberFormat="0" applyFill="0" applyAlignment="0" applyProtection="0"/>
    <xf numFmtId="0" fontId="25" fillId="13" borderId="16" applyNumberFormat="0" applyAlignment="0" applyProtection="0"/>
    <xf numFmtId="0" fontId="26" fillId="0" borderId="0" applyNumberFormat="0" applyFill="0" applyBorder="0" applyAlignment="0" applyProtection="0"/>
    <xf numFmtId="0" fontId="13" fillId="14" borderId="17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29" fillId="38" borderId="0" applyNumberFormat="0" applyBorder="0" applyAlignment="0" applyProtection="0"/>
    <xf numFmtId="14" fontId="31" fillId="0" borderId="0" applyNumberFormat="0" applyBorder="0" applyAlignment="0" applyProtection="0"/>
    <xf numFmtId="0" fontId="32" fillId="0" borderId="0" applyNumberFormat="0" applyBorder="0" applyAlignment="0" applyProtection="0"/>
    <xf numFmtId="0" fontId="30" fillId="7" borderId="0" applyNumberFormat="0" applyAlignment="0" applyProtection="0"/>
    <xf numFmtId="0" fontId="5" fillId="4" borderId="0" applyNumberFormat="0" applyBorder="0" applyAlignment="0" applyProtection="0"/>
    <xf numFmtId="0" fontId="1" fillId="4" borderId="0" applyNumberFormat="0" applyAlignment="0" applyProtection="0"/>
    <xf numFmtId="9" fontId="1" fillId="0" borderId="0" applyFont="0" applyFill="0" applyBorder="0" applyAlignment="0" applyProtection="0"/>
    <xf numFmtId="41" fontId="1" fillId="2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34">
    <xf numFmtId="0" fontId="0" fillId="0" borderId="0" xfId="0"/>
    <xf numFmtId="0" fontId="1" fillId="0" borderId="0" xfId="0" applyFont="1"/>
    <xf numFmtId="0" fontId="1" fillId="0" borderId="0" xfId="0" applyFont="1" applyFill="1"/>
    <xf numFmtId="166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/>
    <xf numFmtId="0" fontId="5" fillId="0" borderId="0" xfId="0" applyFont="1" applyFill="1" applyBorder="1"/>
    <xf numFmtId="0" fontId="5" fillId="0" borderId="2" xfId="0" applyFont="1" applyFill="1" applyBorder="1"/>
    <xf numFmtId="0" fontId="1" fillId="0" borderId="2" xfId="0" applyFont="1" applyBorder="1"/>
    <xf numFmtId="0" fontId="5" fillId="4" borderId="3" xfId="0" applyFont="1" applyFill="1" applyBorder="1"/>
    <xf numFmtId="0" fontId="5" fillId="4" borderId="1" xfId="0" applyFont="1" applyFill="1" applyBorder="1"/>
    <xf numFmtId="166" fontId="1" fillId="2" borderId="7" xfId="0" applyNumberFormat="1" applyFont="1" applyFill="1" applyBorder="1"/>
    <xf numFmtId="166" fontId="1" fillId="2" borderId="8" xfId="0" applyNumberFormat="1" applyFont="1" applyFill="1" applyBorder="1"/>
    <xf numFmtId="0" fontId="0" fillId="0" borderId="5" xfId="0" applyFont="1" applyBorder="1"/>
    <xf numFmtId="166" fontId="1" fillId="0" borderId="0" xfId="0" applyNumberFormat="1" applyFont="1" applyFill="1" applyBorder="1"/>
    <xf numFmtId="0" fontId="0" fillId="0" borderId="4" xfId="0" applyFont="1" applyBorder="1"/>
    <xf numFmtId="165" fontId="7" fillId="0" borderId="0" xfId="0" applyNumberFormat="1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 wrapText="1"/>
    </xf>
    <xf numFmtId="168" fontId="1" fillId="0" borderId="0" xfId="0" applyNumberFormat="1" applyFont="1" applyBorder="1"/>
    <xf numFmtId="168" fontId="1" fillId="0" borderId="0" xfId="0" applyNumberFormat="1" applyFont="1" applyBorder="1"/>
    <xf numFmtId="168" fontId="1" fillId="0" borderId="7" xfId="0" applyNumberFormat="1" applyFont="1" applyBorder="1"/>
    <xf numFmtId="168" fontId="1" fillId="0" borderId="2" xfId="0" applyNumberFormat="1" applyFont="1" applyBorder="1"/>
    <xf numFmtId="168" fontId="1" fillId="0" borderId="2" xfId="0" applyNumberFormat="1" applyFont="1" applyFill="1" applyBorder="1"/>
    <xf numFmtId="168" fontId="1" fillId="0" borderId="8" xfId="0" applyNumberFormat="1" applyFont="1" applyBorder="1"/>
    <xf numFmtId="14" fontId="10" fillId="0" borderId="0" xfId="0" applyNumberFormat="1" applyFont="1" applyBorder="1" applyAlignment="1">
      <alignment horizontal="left"/>
    </xf>
    <xf numFmtId="165" fontId="4" fillId="5" borderId="4" xfId="0" applyNumberFormat="1" applyFont="1" applyFill="1" applyBorder="1" applyAlignment="1">
      <alignment horizontal="left"/>
    </xf>
    <xf numFmtId="165" fontId="7" fillId="5" borderId="0" xfId="0" applyNumberFormat="1" applyFont="1" applyFill="1" applyBorder="1" applyAlignment="1">
      <alignment horizontal="left"/>
    </xf>
    <xf numFmtId="165" fontId="5" fillId="6" borderId="0" xfId="0" applyNumberFormat="1" applyFont="1" applyFill="1" applyBorder="1"/>
    <xf numFmtId="165" fontId="5" fillId="6" borderId="0" xfId="0" applyNumberFormat="1" applyFont="1" applyFill="1"/>
    <xf numFmtId="165" fontId="5" fillId="0" borderId="0" xfId="0" applyNumberFormat="1" applyFont="1" applyFill="1"/>
    <xf numFmtId="165" fontId="7" fillId="0" borderId="0" xfId="0" applyNumberFormat="1" applyFont="1" applyBorder="1" applyAlignment="1">
      <alignment horizontal="left"/>
    </xf>
    <xf numFmtId="0" fontId="5" fillId="0" borderId="0" xfId="0" applyNumberFormat="1" applyFont="1" applyBorder="1"/>
    <xf numFmtId="0" fontId="5" fillId="0" borderId="0" xfId="0" applyNumberFormat="1" applyFont="1"/>
    <xf numFmtId="49" fontId="11" fillId="0" borderId="0" xfId="0" applyNumberFormat="1" applyFont="1" applyBorder="1"/>
    <xf numFmtId="0" fontId="5" fillId="0" borderId="4" xfId="0" applyNumberFormat="1" applyFont="1" applyBorder="1"/>
    <xf numFmtId="0" fontId="12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14" fontId="5" fillId="0" borderId="0" xfId="0" applyNumberFormat="1" applyFont="1"/>
    <xf numFmtId="165" fontId="0" fillId="0" borderId="0" xfId="0" applyNumberFormat="1" applyFont="1" applyFill="1"/>
    <xf numFmtId="166" fontId="5" fillId="0" borderId="4" xfId="0" applyNumberFormat="1" applyFont="1" applyFill="1" applyBorder="1"/>
    <xf numFmtId="166" fontId="5" fillId="0" borderId="0" xfId="0" applyNumberFormat="1" applyFont="1" applyFill="1" applyBorder="1"/>
    <xf numFmtId="166" fontId="1" fillId="2" borderId="0" xfId="0" applyNumberFormat="1" applyFont="1" applyFill="1" applyBorder="1"/>
    <xf numFmtId="0" fontId="1" fillId="2" borderId="0" xfId="0" applyFont="1" applyFill="1" applyBorder="1"/>
    <xf numFmtId="0" fontId="1" fillId="0" borderId="5" xfId="0" applyFont="1" applyBorder="1"/>
    <xf numFmtId="165" fontId="1" fillId="0" borderId="0" xfId="0" applyNumberFormat="1" applyFont="1" applyBorder="1" applyAlignment="1">
      <alignment horizontal="left" indent="1"/>
    </xf>
    <xf numFmtId="0" fontId="1" fillId="0" borderId="4" xfId="0" applyFont="1" applyBorder="1"/>
    <xf numFmtId="166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Border="1"/>
    <xf numFmtId="165" fontId="1" fillId="0" borderId="0" xfId="0" applyNumberFormat="1" applyFont="1"/>
    <xf numFmtId="14" fontId="1" fillId="0" borderId="0" xfId="0" applyNumberFormat="1" applyFont="1"/>
    <xf numFmtId="165" fontId="1" fillId="0" borderId="0" xfId="0" applyNumberFormat="1" applyFont="1" applyBorder="1"/>
    <xf numFmtId="168" fontId="1" fillId="0" borderId="4" xfId="0" applyNumberFormat="1" applyFont="1" applyBorder="1"/>
    <xf numFmtId="168" fontId="1" fillId="0" borderId="0" xfId="0" applyNumberFormat="1" applyFont="1"/>
    <xf numFmtId="168" fontId="1" fillId="0" borderId="0" xfId="0" applyNumberFormat="1" applyFont="1"/>
    <xf numFmtId="49" fontId="12" fillId="0" borderId="0" xfId="0" applyNumberFormat="1" applyFont="1" applyFill="1" applyBorder="1"/>
    <xf numFmtId="165" fontId="5" fillId="0" borderId="0" xfId="0" applyNumberFormat="1" applyFont="1" applyBorder="1"/>
    <xf numFmtId="168" fontId="5" fillId="0" borderId="0" xfId="0" applyNumberFormat="1" applyFont="1" applyBorder="1"/>
    <xf numFmtId="168" fontId="5" fillId="0" borderId="0" xfId="0" applyNumberFormat="1" applyFont="1"/>
    <xf numFmtId="168" fontId="5" fillId="0" borderId="0" xfId="0" applyNumberFormat="1" applyFont="1" applyFill="1"/>
    <xf numFmtId="168" fontId="5" fillId="0" borderId="0" xfId="0" applyNumberFormat="1" applyFont="1" applyFill="1"/>
    <xf numFmtId="168" fontId="12" fillId="0" borderId="0" xfId="0" applyNumberFormat="1" applyFont="1" applyFill="1" applyBorder="1"/>
    <xf numFmtId="168" fontId="5" fillId="0" borderId="0" xfId="0" applyNumberFormat="1" applyFont="1" applyFill="1" applyBorder="1"/>
    <xf numFmtId="168" fontId="5" fillId="0" borderId="0" xfId="0" applyNumberFormat="1" applyFont="1"/>
    <xf numFmtId="165" fontId="5" fillId="0" borderId="0" xfId="0" applyNumberFormat="1" applyFont="1"/>
    <xf numFmtId="0" fontId="9" fillId="0" borderId="0" xfId="0" applyFont="1" applyBorder="1"/>
    <xf numFmtId="0" fontId="9" fillId="0" borderId="0" xfId="0" applyFont="1"/>
    <xf numFmtId="165" fontId="1" fillId="0" borderId="0" xfId="0" applyNumberFormat="1" applyFont="1" applyFill="1" applyBorder="1"/>
    <xf numFmtId="168" fontId="1" fillId="0" borderId="0" xfId="0" applyNumberFormat="1" applyFont="1" applyFill="1" applyBorder="1"/>
    <xf numFmtId="168" fontId="1" fillId="0" borderId="0" xfId="0" applyNumberFormat="1" applyFont="1" applyFill="1"/>
    <xf numFmtId="168" fontId="1" fillId="0" borderId="0" xfId="0" applyNumberFormat="1" applyFont="1" applyFill="1"/>
    <xf numFmtId="165" fontId="1" fillId="0" borderId="0" xfId="0" applyNumberFormat="1" applyFont="1" applyFill="1"/>
    <xf numFmtId="165" fontId="5" fillId="0" borderId="0" xfId="0" applyNumberFormat="1" applyFont="1" applyFill="1" applyBorder="1"/>
    <xf numFmtId="165" fontId="1" fillId="0" borderId="4" xfId="0" applyNumberFormat="1" applyFont="1" applyBorder="1"/>
    <xf numFmtId="166" fontId="1" fillId="0" borderId="0" xfId="0" applyNumberFormat="1" applyFont="1" applyBorder="1"/>
    <xf numFmtId="14" fontId="1" fillId="2" borderId="0" xfId="0" applyNumberFormat="1" applyFont="1" applyFill="1" applyBorder="1"/>
    <xf numFmtId="166" fontId="1" fillId="0" borderId="0" xfId="0" applyNumberFormat="1" applyFont="1" applyFill="1"/>
    <xf numFmtId="166" fontId="1" fillId="0" borderId="0" xfId="0" applyNumberFormat="1" applyFont="1" applyBorder="1"/>
    <xf numFmtId="166" fontId="5" fillId="0" borderId="0" xfId="0" applyNumberFormat="1" applyFont="1" applyFill="1" applyBorder="1"/>
    <xf numFmtId="166" fontId="1" fillId="0" borderId="4" xfId="0" applyNumberFormat="1" applyFont="1" applyBorder="1"/>
    <xf numFmtId="165" fontId="1" fillId="0" borderId="4" xfId="0" applyNumberFormat="1" applyFont="1" applyFill="1" applyBorder="1"/>
    <xf numFmtId="0" fontId="0" fillId="0" borderId="0" xfId="0" applyFont="1" applyFill="1" applyBorder="1"/>
    <xf numFmtId="9" fontId="1" fillId="2" borderId="0" xfId="0" applyNumberFormat="1" applyFont="1" applyFill="1" applyBorder="1"/>
    <xf numFmtId="165" fontId="0" fillId="0" borderId="0" xfId="0" applyNumberFormat="1" applyBorder="1"/>
    <xf numFmtId="166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Font="1" applyBorder="1"/>
    <xf numFmtId="165" fontId="0" fillId="0" borderId="0" xfId="0" applyNumberFormat="1" applyFill="1" applyBorder="1" applyAlignment="1">
      <alignment horizontal="left"/>
    </xf>
    <xf numFmtId="169" fontId="1" fillId="2" borderId="0" xfId="0" applyNumberFormat="1" applyFont="1" applyFill="1" applyBorder="1"/>
    <xf numFmtId="165" fontId="0" fillId="0" borderId="0" xfId="0" applyNumberFormat="1" applyBorder="1" applyAlignment="1">
      <alignment horizontal="left" indent="1"/>
    </xf>
    <xf numFmtId="170" fontId="5" fillId="4" borderId="0" xfId="0" applyNumberFormat="1" applyFont="1" applyFill="1" applyBorder="1" applyAlignment="1">
      <alignment horizontal="right"/>
    </xf>
    <xf numFmtId="0" fontId="3" fillId="2" borderId="9" xfId="0" applyFont="1" applyFill="1" applyBorder="1" applyAlignment="1"/>
    <xf numFmtId="0" fontId="3" fillId="2" borderId="0" xfId="0" applyFont="1" applyFill="1"/>
    <xf numFmtId="9" fontId="3" fillId="2" borderId="0" xfId="0" applyNumberFormat="1" applyFont="1" applyFill="1"/>
    <xf numFmtId="14" fontId="3" fillId="2" borderId="0" xfId="0" applyNumberFormat="1" applyFont="1" applyFill="1"/>
    <xf numFmtId="166" fontId="3" fillId="2" borderId="0" xfId="0" applyNumberFormat="1" applyFont="1" applyFill="1" applyAlignment="1">
      <alignment wrapText="1"/>
    </xf>
    <xf numFmtId="0" fontId="3" fillId="2" borderId="0" xfId="0" applyFont="1" applyFill="1" applyAlignment="1"/>
    <xf numFmtId="0" fontId="8" fillId="2" borderId="4" xfId="0" applyFont="1" applyFill="1" applyBorder="1" applyAlignment="1"/>
    <xf numFmtId="0" fontId="0" fillId="2" borderId="0" xfId="0" applyFont="1" applyFill="1"/>
    <xf numFmtId="0" fontId="8" fillId="2" borderId="0" xfId="0" applyFont="1" applyFill="1" applyBorder="1" applyAlignment="1"/>
    <xf numFmtId="0" fontId="3" fillId="2" borderId="0" xfId="0" applyFont="1" applyFill="1" applyBorder="1" applyAlignment="1"/>
    <xf numFmtId="14" fontId="8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0" applyFont="1" applyFill="1"/>
    <xf numFmtId="166" fontId="1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166" fontId="0" fillId="0" borderId="0" xfId="0" quotePrefix="1" applyNumberFormat="1" applyFont="1"/>
    <xf numFmtId="168" fontId="0" fillId="0" borderId="0" xfId="0" applyNumberFormat="1" applyFont="1" applyFill="1"/>
    <xf numFmtId="165" fontId="0" fillId="0" borderId="0" xfId="0" applyNumberFormat="1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5" fillId="4" borderId="6" xfId="0" applyFont="1" applyFill="1" applyBorder="1"/>
    <xf numFmtId="166" fontId="1" fillId="2" borderId="2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left"/>
    </xf>
    <xf numFmtId="170" fontId="5" fillId="4" borderId="7" xfId="0" applyNumberFormat="1" applyFont="1" applyFill="1" applyBorder="1" applyAlignment="1">
      <alignment horizontal="right"/>
    </xf>
    <xf numFmtId="0" fontId="1" fillId="0" borderId="5" xfId="0" applyNumberFormat="1" applyFont="1" applyBorder="1"/>
    <xf numFmtId="0" fontId="1" fillId="0" borderId="2" xfId="0" applyNumberFormat="1" applyFont="1" applyBorder="1"/>
    <xf numFmtId="0" fontId="1" fillId="4" borderId="1" xfId="0" applyFont="1" applyFill="1" applyBorder="1"/>
    <xf numFmtId="166" fontId="1" fillId="0" borderId="7" xfId="0" applyNumberFormat="1" applyFont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Fill="1" applyBorder="1"/>
    <xf numFmtId="10" fontId="1" fillId="2" borderId="8" xfId="0" applyNumberFormat="1" applyFont="1" applyFill="1" applyBorder="1"/>
    <xf numFmtId="167" fontId="1" fillId="0" borderId="0" xfId="0" applyNumberFormat="1" applyFont="1" applyFill="1" applyBorder="1"/>
    <xf numFmtId="0" fontId="5" fillId="4" borderId="1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1" fillId="4" borderId="0" xfId="0" applyFont="1" applyFill="1" applyBorder="1"/>
    <xf numFmtId="167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0" borderId="0" xfId="0" applyBorder="1"/>
    <xf numFmtId="14" fontId="31" fillId="0" borderId="0" xfId="47"/>
    <xf numFmtId="0" fontId="0" fillId="0" borderId="4" xfId="0" applyFill="1" applyBorder="1"/>
    <xf numFmtId="0" fontId="0" fillId="0" borderId="5" xfId="0" applyFill="1" applyBorder="1"/>
    <xf numFmtId="0" fontId="1" fillId="0" borderId="7" xfId="0" applyFont="1" applyFill="1" applyBorder="1"/>
    <xf numFmtId="0" fontId="30" fillId="7" borderId="0" xfId="49"/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right"/>
    </xf>
    <xf numFmtId="0" fontId="32" fillId="0" borderId="0" xfId="48"/>
    <xf numFmtId="0" fontId="5" fillId="4" borderId="3" xfId="50" applyBorder="1"/>
    <xf numFmtId="0" fontId="5" fillId="4" borderId="1" xfId="50" applyBorder="1"/>
    <xf numFmtId="0" fontId="5" fillId="4" borderId="6" xfId="50" applyBorder="1"/>
    <xf numFmtId="0" fontId="0" fillId="4" borderId="4" xfId="0" applyFont="1" applyFill="1" applyBorder="1"/>
    <xf numFmtId="0" fontId="0" fillId="4" borderId="7" xfId="0" applyFont="1" applyFill="1" applyBorder="1"/>
    <xf numFmtId="0" fontId="0" fillId="4" borderId="4" xfId="51" applyFont="1" applyBorder="1"/>
    <xf numFmtId="0" fontId="1" fillId="4" borderId="0" xfId="51" applyBorder="1"/>
    <xf numFmtId="0" fontId="1" fillId="4" borderId="4" xfId="51" applyBorder="1"/>
    <xf numFmtId="0" fontId="1" fillId="4" borderId="7" xfId="51" applyBorder="1"/>
    <xf numFmtId="0" fontId="0" fillId="0" borderId="4" xfId="0" applyBorder="1"/>
    <xf numFmtId="0" fontId="0" fillId="0" borderId="5" xfId="0" applyBorder="1"/>
    <xf numFmtId="0" fontId="5" fillId="4" borderId="3" xfId="50" applyBorder="1"/>
    <xf numFmtId="0" fontId="5" fillId="4" borderId="1" xfId="50" applyBorder="1"/>
    <xf numFmtId="0" fontId="5" fillId="4" borderId="6" xfId="50" applyBorder="1"/>
    <xf numFmtId="9" fontId="1" fillId="2" borderId="0" xfId="0" applyNumberFormat="1" applyFont="1" applyFill="1" applyBorder="1"/>
    <xf numFmtId="170" fontId="0" fillId="4" borderId="0" xfId="0" applyNumberFormat="1" applyFont="1" applyFill="1" applyBorder="1" applyAlignment="1">
      <alignment horizontal="right"/>
    </xf>
    <xf numFmtId="170" fontId="0" fillId="4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41" fontId="1" fillId="2" borderId="0" xfId="53" applyFont="1" applyFill="1" applyBorder="1"/>
    <xf numFmtId="3" fontId="1" fillId="2" borderId="7" xfId="0" applyNumberFormat="1" applyFont="1" applyFill="1" applyBorder="1"/>
    <xf numFmtId="3" fontId="1" fillId="2" borderId="2" xfId="0" applyNumberFormat="1" applyFont="1" applyFill="1" applyBorder="1"/>
    <xf numFmtId="3" fontId="1" fillId="2" borderId="8" xfId="0" applyNumberFormat="1" applyFont="1" applyFill="1" applyBorder="1"/>
    <xf numFmtId="41" fontId="0" fillId="0" borderId="0" xfId="53" applyFont="1" applyFill="1"/>
    <xf numFmtId="41" fontId="1" fillId="0" borderId="0" xfId="53" applyFont="1" applyFill="1" applyBorder="1"/>
    <xf numFmtId="41" fontId="1" fillId="0" borderId="4" xfId="53" applyFont="1" applyFill="1" applyBorder="1"/>
    <xf numFmtId="41" fontId="1" fillId="0" borderId="0" xfId="53" applyFont="1" applyFill="1"/>
    <xf numFmtId="43" fontId="1" fillId="2" borderId="0" xfId="0" applyNumberFormat="1" applyFont="1" applyFill="1" applyBorder="1"/>
    <xf numFmtId="43" fontId="1" fillId="2" borderId="7" xfId="0" applyNumberFormat="1" applyFont="1" applyFill="1" applyBorder="1"/>
    <xf numFmtId="167" fontId="1" fillId="2" borderId="0" xfId="0" applyNumberFormat="1" applyFont="1" applyFill="1" applyBorder="1"/>
    <xf numFmtId="10" fontId="1" fillId="2" borderId="0" xfId="0" applyNumberFormat="1" applyFont="1" applyFill="1" applyBorder="1"/>
    <xf numFmtId="10" fontId="1" fillId="2" borderId="7" xfId="0" applyNumberFormat="1" applyFont="1" applyFill="1" applyBorder="1"/>
    <xf numFmtId="167" fontId="1" fillId="2" borderId="7" xfId="0" applyNumberFormat="1" applyFont="1" applyFill="1" applyBorder="1"/>
    <xf numFmtId="41" fontId="5" fillId="0" borderId="0" xfId="53" applyFont="1" applyFill="1"/>
    <xf numFmtId="41" fontId="5" fillId="0" borderId="0" xfId="53" applyFont="1" applyFill="1" applyAlignment="1">
      <alignment horizontal="left"/>
    </xf>
    <xf numFmtId="3" fontId="30" fillId="7" borderId="0" xfId="49" applyNumberFormat="1"/>
    <xf numFmtId="167" fontId="1" fillId="2" borderId="2" xfId="0" applyNumberFormat="1" applyFont="1" applyFill="1" applyBorder="1"/>
    <xf numFmtId="167" fontId="1" fillId="2" borderId="8" xfId="0" applyNumberFormat="1" applyFont="1" applyFill="1" applyBorder="1"/>
    <xf numFmtId="9" fontId="1" fillId="0" borderId="0" xfId="0" applyNumberFormat="1" applyFont="1" applyFill="1" applyBorder="1"/>
    <xf numFmtId="41" fontId="0" fillId="0" borderId="0" xfId="53" applyFont="1" applyFill="1" applyAlignment="1">
      <alignment horizontal="left" indent="1"/>
    </xf>
    <xf numFmtId="41" fontId="0" fillId="0" borderId="0" xfId="53" applyFont="1" applyFill="1" applyAlignment="1">
      <alignment horizontal="left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166" fontId="0" fillId="0" borderId="0" xfId="0" applyNumberFormat="1" applyFill="1" applyBorder="1"/>
    <xf numFmtId="14" fontId="30" fillId="7" borderId="0" xfId="49" applyNumberFormat="1"/>
    <xf numFmtId="49" fontId="30" fillId="7" borderId="0" xfId="49" applyNumberFormat="1"/>
    <xf numFmtId="0" fontId="30" fillId="7" borderId="0" xfId="49" applyNumberFormat="1" applyAlignment="1">
      <alignment horizontal="right"/>
    </xf>
    <xf numFmtId="0" fontId="5" fillId="4" borderId="0" xfId="50"/>
    <xf numFmtId="3" fontId="5" fillId="4" borderId="0" xfId="50" applyNumberFormat="1"/>
    <xf numFmtId="3" fontId="1" fillId="0" borderId="0" xfId="50" applyNumberFormat="1" applyFont="1" applyFill="1"/>
    <xf numFmtId="3" fontId="0" fillId="0" borderId="0" xfId="0" applyNumberFormat="1"/>
    <xf numFmtId="3" fontId="5" fillId="0" borderId="0" xfId="50" applyNumberFormat="1" applyFont="1" applyFill="1"/>
    <xf numFmtId="4" fontId="0" fillId="0" borderId="0" xfId="53" applyNumberFormat="1" applyFont="1" applyFill="1" applyAlignment="1">
      <alignment horizontal="left"/>
    </xf>
    <xf numFmtId="4" fontId="0" fillId="0" borderId="0" xfId="53" applyNumberFormat="1" applyFont="1" applyFill="1"/>
    <xf numFmtId="4" fontId="1" fillId="0" borderId="0" xfId="53" applyNumberFormat="1" applyFont="1" applyFill="1" applyAlignment="1">
      <alignment horizontal="left"/>
    </xf>
    <xf numFmtId="4" fontId="1" fillId="0" borderId="0" xfId="53" applyNumberFormat="1" applyFont="1" applyFill="1"/>
    <xf numFmtId="165" fontId="30" fillId="7" borderId="0" xfId="49" applyNumberFormat="1"/>
    <xf numFmtId="166" fontId="30" fillId="7" borderId="0" xfId="49" applyNumberFormat="1"/>
    <xf numFmtId="165" fontId="31" fillId="0" borderId="0" xfId="47" applyNumberFormat="1" applyBorder="1" applyAlignment="1">
      <alignment horizontal="left"/>
    </xf>
    <xf numFmtId="0" fontId="30" fillId="7" borderId="0" xfId="49" applyNumberFormat="1"/>
    <xf numFmtId="165" fontId="5" fillId="4" borderId="0" xfId="50" applyNumberFormat="1" applyBorder="1"/>
    <xf numFmtId="165" fontId="5" fillId="4" borderId="0" xfId="50" applyNumberFormat="1"/>
    <xf numFmtId="49" fontId="30" fillId="7" borderId="4" xfId="49" applyNumberFormat="1" applyBorder="1"/>
    <xf numFmtId="165" fontId="30" fillId="7" borderId="4" xfId="49" applyNumberFormat="1" applyBorder="1"/>
    <xf numFmtId="0" fontId="5" fillId="4" borderId="3" xfId="50" applyBorder="1"/>
    <xf numFmtId="0" fontId="5" fillId="4" borderId="1" xfId="50" applyBorder="1"/>
    <xf numFmtId="0" fontId="5" fillId="4" borderId="6" xfId="50" applyBorder="1"/>
    <xf numFmtId="2" fontId="1" fillId="2" borderId="0" xfId="0" applyNumberFormat="1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0" fillId="0" borderId="2" xfId="0" applyFill="1" applyBorder="1"/>
    <xf numFmtId="0" fontId="5" fillId="4" borderId="3" xfId="51" applyFont="1" applyFill="1" applyBorder="1"/>
    <xf numFmtId="0" fontId="5" fillId="4" borderId="1" xfId="51" applyFont="1" applyFill="1" applyBorder="1"/>
    <xf numFmtId="0" fontId="5" fillId="4" borderId="6" xfId="51" applyFont="1" applyFill="1" applyBorder="1"/>
    <xf numFmtId="2" fontId="1" fillId="2" borderId="7" xfId="0" applyNumberFormat="1" applyFont="1" applyFill="1" applyBorder="1"/>
    <xf numFmtId="9" fontId="1" fillId="2" borderId="7" xfId="0" applyNumberFormat="1" applyFont="1" applyFill="1" applyBorder="1"/>
    <xf numFmtId="3" fontId="5" fillId="0" borderId="0" xfId="0" applyNumberFormat="1" applyFont="1"/>
    <xf numFmtId="0" fontId="5" fillId="0" borderId="0" xfId="0" applyFont="1"/>
    <xf numFmtId="4" fontId="1" fillId="0" borderId="0" xfId="53" applyNumberFormat="1" applyFont="1" applyFill="1" applyBorder="1"/>
    <xf numFmtId="165" fontId="4" fillId="5" borderId="0" xfId="0" applyNumberFormat="1" applyFont="1" applyFill="1" applyBorder="1" applyAlignment="1">
      <alignment horizontal="left"/>
    </xf>
    <xf numFmtId="0" fontId="30" fillId="7" borderId="0" xfId="49" applyNumberFormat="1" applyBorder="1"/>
    <xf numFmtId="0" fontId="5" fillId="4" borderId="0" xfId="50" applyBorder="1"/>
    <xf numFmtId="41" fontId="0" fillId="0" borderId="0" xfId="53" applyFont="1" applyFill="1" applyBorder="1"/>
    <xf numFmtId="3" fontId="5" fillId="4" borderId="0" xfId="50" applyNumberFormat="1" applyBorder="1"/>
    <xf numFmtId="3" fontId="30" fillId="7" borderId="0" xfId="49" applyNumberFormat="1" applyBorder="1"/>
    <xf numFmtId="3" fontId="5" fillId="0" borderId="0" xfId="0" applyNumberFormat="1" applyFont="1" applyBorder="1"/>
    <xf numFmtId="3" fontId="0" fillId="0" borderId="0" xfId="0" applyNumberFormat="1" applyBorder="1"/>
    <xf numFmtId="3" fontId="1" fillId="0" borderId="0" xfId="50" applyNumberFormat="1" applyFont="1" applyFill="1" applyBorder="1"/>
    <xf numFmtId="41" fontId="5" fillId="0" borderId="0" xfId="53" applyFont="1" applyFill="1" applyBorder="1"/>
    <xf numFmtId="4" fontId="0" fillId="0" borderId="0" xfId="53" applyNumberFormat="1" applyFont="1" applyFill="1" applyBorder="1"/>
    <xf numFmtId="14" fontId="10" fillId="0" borderId="7" xfId="0" applyNumberFormat="1" applyFont="1" applyBorder="1" applyAlignment="1">
      <alignment horizontal="left"/>
    </xf>
    <xf numFmtId="165" fontId="7" fillId="0" borderId="7" xfId="0" applyNumberFormat="1" applyFont="1" applyFill="1" applyBorder="1" applyAlignment="1">
      <alignment horizontal="left"/>
    </xf>
    <xf numFmtId="49" fontId="11" fillId="0" borderId="7" xfId="0" applyNumberFormat="1" applyFont="1" applyBorder="1"/>
    <xf numFmtId="49" fontId="30" fillId="7" borderId="7" xfId="49" applyNumberFormat="1" applyBorder="1"/>
    <xf numFmtId="0" fontId="5" fillId="4" borderId="7" xfId="50" applyBorder="1"/>
    <xf numFmtId="41" fontId="0" fillId="0" borderId="7" xfId="53" applyFont="1" applyFill="1" applyBorder="1"/>
    <xf numFmtId="41" fontId="5" fillId="0" borderId="7" xfId="53" applyFont="1" applyFill="1" applyBorder="1"/>
    <xf numFmtId="4" fontId="1" fillId="0" borderId="7" xfId="53" applyNumberFormat="1" applyFont="1" applyFill="1" applyBorder="1"/>
    <xf numFmtId="3" fontId="5" fillId="4" borderId="7" xfId="50" applyNumberFormat="1" applyBorder="1"/>
    <xf numFmtId="3" fontId="30" fillId="7" borderId="7" xfId="49" applyNumberFormat="1" applyBorder="1"/>
    <xf numFmtId="3" fontId="5" fillId="0" borderId="7" xfId="0" applyNumberFormat="1" applyFont="1" applyBorder="1"/>
    <xf numFmtId="3" fontId="0" fillId="0" borderId="7" xfId="0" applyNumberFormat="1" applyBorder="1"/>
    <xf numFmtId="3" fontId="5" fillId="0" borderId="7" xfId="50" applyNumberFormat="1" applyFont="1" applyFill="1" applyBorder="1"/>
    <xf numFmtId="3" fontId="1" fillId="0" borderId="7" xfId="50" applyNumberFormat="1" applyFont="1" applyFill="1" applyBorder="1"/>
    <xf numFmtId="4" fontId="0" fillId="0" borderId="7" xfId="53" applyNumberFormat="1" applyFont="1" applyFill="1" applyBorder="1"/>
    <xf numFmtId="41" fontId="1" fillId="0" borderId="7" xfId="53" applyFont="1" applyFill="1" applyBorder="1"/>
    <xf numFmtId="165" fontId="1" fillId="0" borderId="7" xfId="0" applyNumberFormat="1" applyFont="1" applyBorder="1"/>
    <xf numFmtId="165" fontId="5" fillId="0" borderId="0" xfId="0" applyNumberFormat="1" applyFont="1" applyBorder="1" applyAlignment="1">
      <alignment horizontal="left"/>
    </xf>
    <xf numFmtId="168" fontId="30" fillId="7" borderId="0" xfId="49" applyNumberFormat="1"/>
    <xf numFmtId="41" fontId="5" fillId="4" borderId="1" xfId="53" applyFont="1" applyFill="1" applyBorder="1" applyAlignment="1">
      <alignment horizontal="right"/>
    </xf>
    <xf numFmtId="41" fontId="5" fillId="4" borderId="6" xfId="53" applyFont="1" applyFill="1" applyBorder="1" applyAlignment="1">
      <alignment horizontal="right"/>
    </xf>
    <xf numFmtId="1" fontId="1" fillId="2" borderId="0" xfId="0" applyNumberFormat="1" applyFont="1" applyFill="1" applyBorder="1"/>
    <xf numFmtId="1" fontId="1" fillId="2" borderId="7" xfId="0" applyNumberFormat="1" applyFont="1" applyFill="1" applyBorder="1"/>
    <xf numFmtId="4" fontId="1" fillId="2" borderId="2" xfId="53" applyNumberFormat="1" applyFont="1" applyFill="1" applyBorder="1"/>
    <xf numFmtId="4" fontId="1" fillId="2" borderId="8" xfId="53" applyNumberFormat="1" applyFont="1" applyFill="1" applyBorder="1"/>
    <xf numFmtId="41" fontId="5" fillId="4" borderId="0" xfId="53" applyFont="1" applyFill="1" applyBorder="1" applyAlignment="1">
      <alignment horizontal="right"/>
    </xf>
    <xf numFmtId="9" fontId="1" fillId="2" borderId="2" xfId="0" applyNumberFormat="1" applyFont="1" applyFill="1" applyBorder="1"/>
    <xf numFmtId="41" fontId="1" fillId="2" borderId="7" xfId="53" applyFont="1" applyFill="1" applyBorder="1"/>
    <xf numFmtId="41" fontId="1" fillId="2" borderId="2" xfId="53" applyFont="1" applyFill="1" applyBorder="1"/>
    <xf numFmtId="41" fontId="1" fillId="2" borderId="8" xfId="53" applyFont="1" applyFill="1" applyBorder="1"/>
    <xf numFmtId="0" fontId="1" fillId="4" borderId="4" xfId="0" applyFont="1" applyFill="1" applyBorder="1"/>
    <xf numFmtId="0" fontId="5" fillId="4" borderId="7" xfId="0" applyFont="1" applyFill="1" applyBorder="1" applyAlignment="1">
      <alignment horizontal="right"/>
    </xf>
    <xf numFmtId="0" fontId="0" fillId="0" borderId="4" xfId="0" applyFont="1" applyFill="1" applyBorder="1"/>
    <xf numFmtId="166" fontId="1" fillId="0" borderId="2" xfId="0" applyNumberFormat="1" applyFont="1" applyFill="1" applyBorder="1"/>
    <xf numFmtId="0" fontId="0" fillId="0" borderId="5" xfId="0" applyFont="1" applyFill="1" applyBorder="1"/>
    <xf numFmtId="165" fontId="0" fillId="0" borderId="5" xfId="0" applyNumberFormat="1" applyFill="1" applyBorder="1" applyAlignment="1">
      <alignment horizontal="left"/>
    </xf>
    <xf numFmtId="166" fontId="1" fillId="0" borderId="8" xfId="0" applyNumberFormat="1" applyFont="1" applyFill="1" applyBorder="1"/>
    <xf numFmtId="0" fontId="0" fillId="4" borderId="6" xfId="0" applyFill="1" applyBorder="1" applyAlignment="1">
      <alignment horizontal="right"/>
    </xf>
    <xf numFmtId="166" fontId="5" fillId="0" borderId="4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/>
    <xf numFmtId="165" fontId="0" fillId="0" borderId="0" xfId="0" applyNumberFormat="1" applyFont="1" applyBorder="1" applyAlignment="1">
      <alignment horizontal="left" indent="1"/>
    </xf>
    <xf numFmtId="165" fontId="0" fillId="0" borderId="0" xfId="0" applyNumberFormat="1" applyFont="1" applyBorder="1"/>
    <xf numFmtId="166" fontId="0" fillId="0" borderId="4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/>
    <xf numFmtId="165" fontId="0" fillId="0" borderId="0" xfId="0" applyNumberFormat="1" applyFont="1"/>
    <xf numFmtId="41" fontId="0" fillId="2" borderId="8" xfId="53" applyFont="1" applyFill="1" applyBorder="1"/>
    <xf numFmtId="0" fontId="0" fillId="0" borderId="2" xfId="0" applyFill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165" fontId="5" fillId="0" borderId="4" xfId="0" applyNumberFormat="1" applyFont="1" applyBorder="1"/>
    <xf numFmtId="9" fontId="0" fillId="2" borderId="7" xfId="0" applyNumberFormat="1" applyFont="1" applyFill="1" applyBorder="1"/>
    <xf numFmtId="9" fontId="1" fillId="2" borderId="8" xfId="0" applyNumberFormat="1" applyFont="1" applyFill="1" applyBorder="1"/>
    <xf numFmtId="165" fontId="33" fillId="0" borderId="0" xfId="0" applyNumberFormat="1" applyFont="1" applyBorder="1"/>
    <xf numFmtId="0" fontId="33" fillId="0" borderId="0" xfId="0" applyFont="1"/>
    <xf numFmtId="41" fontId="33" fillId="0" borderId="0" xfId="53" applyFont="1" applyFill="1" applyBorder="1"/>
    <xf numFmtId="9" fontId="1" fillId="2" borderId="7" xfId="0" applyNumberFormat="1" applyFont="1" applyFill="1" applyBorder="1"/>
    <xf numFmtId="41" fontId="1" fillId="2" borderId="0" xfId="53" applyNumberFormat="1" applyFont="1" applyFill="1" applyBorder="1"/>
    <xf numFmtId="165" fontId="0" fillId="0" borderId="0" xfId="0" applyNumberFormat="1"/>
    <xf numFmtId="41" fontId="5" fillId="0" borderId="4" xfId="53" applyFont="1" applyFill="1" applyBorder="1"/>
    <xf numFmtId="41" fontId="33" fillId="0" borderId="4" xfId="53" applyFont="1" applyFill="1" applyBorder="1"/>
    <xf numFmtId="168" fontId="0" fillId="0" borderId="0" xfId="0" applyNumberFormat="1"/>
    <xf numFmtId="0" fontId="30" fillId="7" borderId="0" xfId="49" applyBorder="1"/>
    <xf numFmtId="165" fontId="0" fillId="0" borderId="0" xfId="0" applyNumberFormat="1" applyFont="1" applyFill="1" applyBorder="1"/>
    <xf numFmtId="49" fontId="30" fillId="7" borderId="0" xfId="49" applyNumberFormat="1" applyBorder="1"/>
    <xf numFmtId="0" fontId="30" fillId="7" borderId="4" xfId="49" applyBorder="1"/>
    <xf numFmtId="168" fontId="5" fillId="0" borderId="4" xfId="0" applyNumberFormat="1" applyFont="1" applyBorder="1"/>
    <xf numFmtId="168" fontId="1" fillId="0" borderId="4" xfId="0" applyNumberFormat="1" applyFont="1" applyFill="1" applyBorder="1"/>
    <xf numFmtId="168" fontId="30" fillId="7" borderId="4" xfId="49" applyNumberFormat="1" applyBorder="1"/>
    <xf numFmtId="168" fontId="12" fillId="0" borderId="4" xfId="0" applyNumberFormat="1" applyFont="1" applyFill="1" applyBorder="1"/>
    <xf numFmtId="168" fontId="0" fillId="0" borderId="4" xfId="0" applyNumberFormat="1" applyBorder="1"/>
    <xf numFmtId="165" fontId="1" fillId="4" borderId="0" xfId="51" applyNumberFormat="1"/>
    <xf numFmtId="166" fontId="1" fillId="4" borderId="0" xfId="51" applyNumberFormat="1"/>
    <xf numFmtId="49" fontId="0" fillId="0" borderId="0" xfId="0" applyNumberFormat="1" applyBorder="1"/>
    <xf numFmtId="168" fontId="0" fillId="0" borderId="0" xfId="0" applyNumberFormat="1" applyBorder="1"/>
    <xf numFmtId="49" fontId="5" fillId="0" borderId="0" xfId="0" applyNumberFormat="1" applyFont="1" applyBorder="1"/>
    <xf numFmtId="9" fontId="9" fillId="0" borderId="0" xfId="0" applyNumberFormat="1" applyFont="1" applyFill="1" applyBorder="1"/>
    <xf numFmtId="9" fontId="9" fillId="0" borderId="4" xfId="0" applyNumberFormat="1" applyFont="1" applyFill="1" applyBorder="1"/>
    <xf numFmtId="171" fontId="1" fillId="0" borderId="4" xfId="0" applyNumberFormat="1" applyFont="1" applyBorder="1"/>
    <xf numFmtId="171" fontId="1" fillId="0" borderId="0" xfId="0" applyNumberFormat="1" applyFont="1" applyBorder="1"/>
    <xf numFmtId="171" fontId="5" fillId="0" borderId="4" xfId="0" applyNumberFormat="1" applyFont="1" applyBorder="1"/>
    <xf numFmtId="171" fontId="1" fillId="0" borderId="4" xfId="0" applyNumberFormat="1" applyFont="1" applyFill="1" applyBorder="1"/>
    <xf numFmtId="171" fontId="5" fillId="0" borderId="4" xfId="0" applyNumberFormat="1" applyFont="1" applyFill="1" applyBorder="1"/>
    <xf numFmtId="171" fontId="0" fillId="0" borderId="4" xfId="0" applyNumberFormat="1" applyBorder="1"/>
    <xf numFmtId="171" fontId="0" fillId="0" borderId="0" xfId="0" applyNumberFormat="1" applyBorder="1"/>
    <xf numFmtId="171" fontId="0" fillId="0" borderId="0" xfId="0" applyNumberFormat="1"/>
    <xf numFmtId="171" fontId="5" fillId="0" borderId="0" xfId="0" applyNumberFormat="1" applyFont="1" applyBorder="1"/>
    <xf numFmtId="171" fontId="5" fillId="0" borderId="0" xfId="0" applyNumberFormat="1" applyFont="1"/>
    <xf numFmtId="171" fontId="1" fillId="0" borderId="0" xfId="0" applyNumberFormat="1" applyFont="1"/>
    <xf numFmtId="171" fontId="5" fillId="4" borderId="4" xfId="50" applyNumberFormat="1" applyBorder="1"/>
    <xf numFmtId="168" fontId="5" fillId="4" borderId="0" xfId="50" applyNumberFormat="1" applyBorder="1"/>
    <xf numFmtId="168" fontId="5" fillId="4" borderId="0" xfId="50" applyNumberFormat="1"/>
    <xf numFmtId="165" fontId="5" fillId="4" borderId="0" xfId="50" applyNumberFormat="1" applyBorder="1" applyAlignment="1">
      <alignment horizontal="left"/>
    </xf>
    <xf numFmtId="166" fontId="1" fillId="4" borderId="4" xfId="51" applyNumberFormat="1" applyBorder="1"/>
    <xf numFmtId="165" fontId="32" fillId="0" borderId="0" xfId="48" applyNumberFormat="1" applyBorder="1" applyAlignment="1">
      <alignment horizontal="left"/>
    </xf>
    <xf numFmtId="14" fontId="0" fillId="2" borderId="0" xfId="0" applyNumberFormat="1" applyFill="1" applyBorder="1" applyAlignment="1">
      <alignment horizontal="left"/>
    </xf>
  </cellXfs>
  <cellStyles count="88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53" builtinId="3" customBuilti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Good" xfId="11" builtinId="26" hidden="1"/>
    <cellStyle name="Header1" xfId="47" xr:uid="{00000000-0005-0000-0000-000033000000}"/>
    <cellStyle name="Header2" xfId="48" xr:uid="{00000000-0005-0000-0000-000034000000}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52" builtinId="5" customBuiltin="1"/>
    <cellStyle name="RowHeader1" xfId="49" xr:uid="{00000000-0005-0000-0000-000052000000}"/>
    <cellStyle name="RowHeader2" xfId="50" xr:uid="{00000000-0005-0000-0000-000053000000}"/>
    <cellStyle name="RowHeader3" xfId="51" xr:uid="{00000000-0005-0000-0000-000054000000}"/>
    <cellStyle name="Title" xfId="6" builtinId="15" hidden="1"/>
    <cellStyle name="Total" xfId="22" builtinId="25" hidden="1"/>
    <cellStyle name="Warning Text" xfId="19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0.39997558519241921"/>
  </sheetPr>
  <dimension ref="A1:CR195"/>
  <sheetViews>
    <sheetView tabSelected="1" workbookViewId="0"/>
  </sheetViews>
  <sheetFormatPr baseColWidth="10" defaultColWidth="8.83203125" defaultRowHeight="13" x14ac:dyDescent="0.15"/>
  <cols>
    <col min="1" max="1" width="16.83203125" style="1" customWidth="1"/>
    <col min="2" max="9" width="16" style="1" customWidth="1"/>
    <col min="10" max="12" width="16" style="2" customWidth="1"/>
    <col min="13" max="23" width="16" style="1" customWidth="1"/>
    <col min="24" max="30" width="10.5" style="1" customWidth="1"/>
    <col min="31" max="41" width="13.33203125" style="1" customWidth="1"/>
    <col min="42" max="16384" width="8.83203125" style="1"/>
  </cols>
  <sheetData>
    <row r="1" spans="1:17" s="50" customFormat="1" ht="18" x14ac:dyDescent="0.2">
      <c r="A1" s="138" t="str">
        <f>+H1</f>
        <v>BobCo</v>
      </c>
      <c r="C1" s="144" t="s">
        <v>137</v>
      </c>
      <c r="D1" s="136"/>
      <c r="E1" s="143"/>
      <c r="F1" s="137" t="s">
        <v>138</v>
      </c>
      <c r="H1" s="333" t="s">
        <v>238</v>
      </c>
    </row>
    <row r="2" spans="1:17" s="5" customFormat="1" ht="16" x14ac:dyDescent="0.2">
      <c r="A2" s="147" t="s">
        <v>128</v>
      </c>
      <c r="B2" s="4"/>
      <c r="F2" s="88" t="s">
        <v>28</v>
      </c>
      <c r="H2" s="78">
        <v>43466</v>
      </c>
    </row>
    <row r="3" spans="1:17" s="88" customFormat="1" ht="12.75" customHeight="1" x14ac:dyDescent="0.15">
      <c r="B3" s="143"/>
    </row>
    <row r="4" spans="1:17" s="142" customFormat="1" ht="16" x14ac:dyDescent="0.2">
      <c r="A4" s="142" t="s">
        <v>224</v>
      </c>
    </row>
    <row r="5" spans="1:17" s="89" customFormat="1" x14ac:dyDescent="0.15">
      <c r="A5" s="88"/>
      <c r="B5" s="88"/>
      <c r="D5" s="88"/>
      <c r="E5" s="88"/>
      <c r="F5" s="88"/>
      <c r="G5" s="88"/>
      <c r="H5" s="88"/>
      <c r="I5" s="49"/>
      <c r="J5" s="88"/>
      <c r="K5" s="88"/>
      <c r="L5" s="88"/>
      <c r="M5" s="88"/>
      <c r="N5" s="88"/>
    </row>
    <row r="6" spans="1:17" s="89" customFormat="1" x14ac:dyDescent="0.15">
      <c r="A6" s="9" t="s">
        <v>143</v>
      </c>
      <c r="B6" s="120">
        <f>YEAR($H$2)</f>
        <v>2019</v>
      </c>
      <c r="C6" s="132">
        <f>+B6+1</f>
        <v>2020</v>
      </c>
      <c r="D6" s="132">
        <f>+C6+1</f>
        <v>2021</v>
      </c>
      <c r="E6" s="132">
        <f>+D6+1</f>
        <v>2022</v>
      </c>
      <c r="F6" s="133" t="s">
        <v>11</v>
      </c>
      <c r="G6" s="88"/>
      <c r="H6" s="88"/>
      <c r="I6" s="88"/>
      <c r="J6" s="88"/>
      <c r="K6" s="88"/>
      <c r="L6" s="88"/>
      <c r="M6" s="88"/>
      <c r="N6" s="88"/>
      <c r="O6" s="88"/>
    </row>
    <row r="7" spans="1:17" s="89" customFormat="1" x14ac:dyDescent="0.15">
      <c r="A7" s="48" t="s">
        <v>21</v>
      </c>
      <c r="B7" s="22">
        <f ca="1">INDEX(SUMMARY,MATCH($A7,Summary!$A:$A,0),MATCH(Main!B$6,Summary!$3:$3,0))</f>
        <v>84363.902021270784</v>
      </c>
      <c r="C7" s="22">
        <f ca="1">INDEX(SUMMARY,MATCH($A7,Summary!$A:$A,0),MATCH(Main!C$6,Summary!$3:$3,0))</f>
        <v>1088576.3630184471</v>
      </c>
      <c r="D7" s="71">
        <f ca="1">INDEX(SUMMARY,MATCH($A7,Summary!$A:$A,0),MATCH(Main!D$6,Summary!$3:$3,0))</f>
        <v>3169645.2480239789</v>
      </c>
      <c r="E7" s="22">
        <f ca="1">INDEX(SUMMARY,MATCH($A7,Summary!$A:$A,0),MATCH(Main!E$6,Summary!$3:$3,0))</f>
        <v>9747997.9824824855</v>
      </c>
      <c r="F7" s="23">
        <f ca="1">SUM(B7:E7)</f>
        <v>14090583.495546183</v>
      </c>
      <c r="G7" s="22"/>
      <c r="H7" s="88"/>
      <c r="I7" s="88"/>
      <c r="J7" s="88"/>
      <c r="K7" s="88"/>
      <c r="L7" s="88"/>
      <c r="M7" s="88"/>
      <c r="N7" s="88"/>
      <c r="O7" s="88"/>
      <c r="Q7" s="88"/>
    </row>
    <row r="8" spans="1:17" s="89" customFormat="1" x14ac:dyDescent="0.15">
      <c r="A8" s="48" t="s">
        <v>4</v>
      </c>
      <c r="B8" s="22">
        <f ca="1">INDEX(SUMMARY,MATCH($A8,Summary!$A:$A,0),MATCH(Main!B$6,Summary!$3:$3,0))</f>
        <v>-810106.07753936737</v>
      </c>
      <c r="C8" s="22">
        <f ca="1">INDEX(SUMMARY,MATCH($A8,Summary!$A:$A,0),MATCH(Main!C$6,Summary!$3:$3,0))</f>
        <v>-2455577.3675402552</v>
      </c>
      <c r="D8" s="71">
        <f ca="1">INDEX(SUMMARY,MATCH($A8,Summary!$A:$A,0),MATCH(Main!D$6,Summary!$3:$3,0))</f>
        <v>-3063713.1506034886</v>
      </c>
      <c r="E8" s="22">
        <f ca="1">INDEX(SUMMARY,MATCH($A8,Summary!$A:$A,0),MATCH(Main!E$6,Summary!$3:$3,0))</f>
        <v>1690444.4940084084</v>
      </c>
      <c r="F8" s="23">
        <f t="shared" ref="F8:F9" ca="1" si="0">SUM(B8:E8)</f>
        <v>-4638952.101674702</v>
      </c>
      <c r="G8" s="22"/>
      <c r="H8" s="88"/>
      <c r="I8" s="88"/>
      <c r="J8" s="88"/>
      <c r="K8" s="88"/>
      <c r="L8" s="88"/>
      <c r="M8" s="88"/>
      <c r="N8" s="88"/>
      <c r="O8" s="88"/>
      <c r="Q8" s="88"/>
    </row>
    <row r="9" spans="1:17" s="89" customFormat="1" x14ac:dyDescent="0.15">
      <c r="A9" s="48" t="s">
        <v>1</v>
      </c>
      <c r="B9" s="22">
        <f ca="1">INDEX(SUMMARY,MATCH($A9,Summary!$A:$A,0),MATCH(Main!B$6,Summary!$3:$3,0))</f>
        <v>-546068.95040058892</v>
      </c>
      <c r="C9" s="22">
        <f ca="1">INDEX(SUMMARY,MATCH($A9,Summary!$A:$A,0),MATCH(Main!C$6,Summary!$3:$3,0))</f>
        <v>-1615625.2889011656</v>
      </c>
      <c r="D9" s="71">
        <f ca="1">INDEX(SUMMARY,MATCH($A9,Summary!$A:$A,0),MATCH(Main!D$6,Summary!$3:$3,0))</f>
        <v>-2010913.5478922676</v>
      </c>
      <c r="E9" s="22">
        <f ca="1">INDEX(SUMMARY,MATCH($A9,Summary!$A:$A,0),MATCH(Main!E$6,Summary!$3:$3,0))</f>
        <v>1079288.9211054656</v>
      </c>
      <c r="F9" s="23">
        <f t="shared" ca="1" si="0"/>
        <v>-3093318.8660885561</v>
      </c>
      <c r="G9" s="22"/>
      <c r="H9" s="88"/>
      <c r="I9" s="88"/>
      <c r="J9" s="88"/>
      <c r="K9" s="88"/>
      <c r="L9" s="88"/>
      <c r="M9" s="88"/>
      <c r="N9" s="88"/>
      <c r="O9" s="88"/>
      <c r="Q9" s="88"/>
    </row>
    <row r="10" spans="1:17" s="89" customFormat="1" x14ac:dyDescent="0.15">
      <c r="A10" s="46" t="s">
        <v>19</v>
      </c>
      <c r="B10" s="24">
        <f ca="1">INDEX(SUMMARY,MATCH($A10,Summary!$A:$A,0),MATCH(Main!B$6,Summary!$3:$3,0))</f>
        <v>4495858.046994227</v>
      </c>
      <c r="C10" s="24">
        <f ca="1">INDEX(SUMMARY,MATCH($A10,Summary!$A:$A,0),MATCH(Main!C$6,Summary!$3:$3,0))</f>
        <v>7082934.4227761179</v>
      </c>
      <c r="D10" s="25">
        <f ca="1">INDEX(SUMMARY,MATCH($A10,Summary!$A:$A,0),MATCH(Main!D$6,Summary!$3:$3,0))</f>
        <v>3988082.2963783159</v>
      </c>
      <c r="E10" s="24">
        <f ca="1">INDEX(SUMMARY,MATCH($A10,Summary!$A:$A,0),MATCH(Main!E$6,Summary!$3:$3,0))</f>
        <v>5364137.3780309446</v>
      </c>
      <c r="F10" s="26">
        <f t="shared" ref="F10" ca="1" si="1">SUM(B10:E10)</f>
        <v>20931012.144179605</v>
      </c>
      <c r="G10" s="22"/>
      <c r="H10" s="88"/>
      <c r="I10" s="88"/>
      <c r="J10" s="88"/>
      <c r="K10" s="88"/>
      <c r="L10" s="88"/>
      <c r="M10" s="88"/>
      <c r="N10" s="88"/>
      <c r="O10" s="88"/>
      <c r="Q10" s="88"/>
    </row>
    <row r="11" spans="1:17" s="89" customFormat="1" x14ac:dyDescent="0.15">
      <c r="Q11" s="88"/>
    </row>
    <row r="12" spans="1:17" s="89" customFormat="1" x14ac:dyDescent="0.15">
      <c r="Q12" s="88"/>
    </row>
    <row r="13" spans="1:17" s="142" customFormat="1" ht="16" x14ac:dyDescent="0.2">
      <c r="A13" s="142" t="s">
        <v>225</v>
      </c>
    </row>
    <row r="14" spans="1:17" customFormat="1" x14ac:dyDescent="0.15">
      <c r="A14" s="1"/>
      <c r="B14" s="1"/>
      <c r="C14" s="1"/>
      <c r="D14" s="1"/>
      <c r="E14" s="1"/>
      <c r="F14" s="1"/>
      <c r="K14" s="2"/>
      <c r="L14" s="2"/>
    </row>
    <row r="15" spans="1:17" customFormat="1" x14ac:dyDescent="0.15">
      <c r="A15" s="219" t="s">
        <v>198</v>
      </c>
      <c r="B15" s="220"/>
      <c r="C15" s="220">
        <f>YEAR($H$2)</f>
        <v>2019</v>
      </c>
      <c r="D15" s="220">
        <f>+C15+1</f>
        <v>2020</v>
      </c>
      <c r="E15" s="220">
        <f>+D15+1</f>
        <v>2021</v>
      </c>
      <c r="F15" s="221">
        <f>+E15+1</f>
        <v>2022</v>
      </c>
      <c r="H15" s="219" t="s">
        <v>188</v>
      </c>
      <c r="I15" s="220"/>
      <c r="J15" s="220">
        <f>YEAR($H$2)</f>
        <v>2019</v>
      </c>
      <c r="K15" s="220">
        <f>+J15+1</f>
        <v>2020</v>
      </c>
      <c r="L15" s="220">
        <f>+K15+1</f>
        <v>2021</v>
      </c>
      <c r="M15" s="221">
        <f>+L15+1</f>
        <v>2022</v>
      </c>
    </row>
    <row r="16" spans="1:17" customFormat="1" x14ac:dyDescent="0.15">
      <c r="A16" s="139" t="s">
        <v>141</v>
      </c>
      <c r="B16" s="89"/>
      <c r="C16" s="215">
        <v>10</v>
      </c>
      <c r="D16" s="215">
        <v>10</v>
      </c>
      <c r="E16" s="215">
        <v>10</v>
      </c>
      <c r="F16" s="222">
        <v>10</v>
      </c>
      <c r="H16" s="139" t="s">
        <v>189</v>
      </c>
      <c r="I16" s="89"/>
      <c r="J16" s="259">
        <v>20</v>
      </c>
      <c r="K16" s="259">
        <v>20</v>
      </c>
      <c r="L16" s="259">
        <v>20</v>
      </c>
      <c r="M16" s="260">
        <v>20</v>
      </c>
    </row>
    <row r="17" spans="1:17" customFormat="1" x14ac:dyDescent="0.15">
      <c r="A17" s="139" t="s">
        <v>144</v>
      </c>
      <c r="B17" s="89"/>
      <c r="C17" s="162">
        <v>0.03</v>
      </c>
      <c r="D17" s="85">
        <v>0.03</v>
      </c>
      <c r="E17" s="85">
        <v>0.03</v>
      </c>
      <c r="F17" s="223">
        <v>0.03</v>
      </c>
      <c r="H17" s="140" t="s">
        <v>191</v>
      </c>
      <c r="I17" s="216"/>
      <c r="J17" s="261">
        <v>2</v>
      </c>
      <c r="K17" s="261">
        <v>2</v>
      </c>
      <c r="L17" s="261">
        <v>2</v>
      </c>
      <c r="M17" s="262">
        <v>2</v>
      </c>
    </row>
    <row r="18" spans="1:17" customFormat="1" x14ac:dyDescent="0.15">
      <c r="A18" s="140" t="s">
        <v>180</v>
      </c>
      <c r="B18" s="216"/>
      <c r="C18" s="127">
        <v>1</v>
      </c>
      <c r="D18" s="218" t="s">
        <v>181</v>
      </c>
      <c r="E18" s="216"/>
      <c r="F18" s="217"/>
    </row>
    <row r="19" spans="1:17" customFormat="1" x14ac:dyDescent="0.15">
      <c r="A19" s="1"/>
      <c r="B19" s="1"/>
      <c r="C19" s="1"/>
      <c r="D19" s="1"/>
      <c r="E19" s="1"/>
      <c r="F19" s="1"/>
    </row>
    <row r="20" spans="1:17" s="89" customFormat="1" x14ac:dyDescent="0.15">
      <c r="A20" s="148" t="s">
        <v>134</v>
      </c>
      <c r="B20" s="149"/>
      <c r="C20" s="149"/>
      <c r="D20" s="149"/>
      <c r="E20" s="149"/>
      <c r="F20" s="150"/>
      <c r="H20" s="148" t="s">
        <v>131</v>
      </c>
      <c r="I20" s="160"/>
      <c r="J20" s="149"/>
      <c r="K20" s="149"/>
      <c r="L20" s="149"/>
      <c r="M20" s="149"/>
      <c r="N20" s="150"/>
      <c r="Q20" s="88"/>
    </row>
    <row r="21" spans="1:17" s="89" customFormat="1" x14ac:dyDescent="0.15">
      <c r="A21" s="151" t="s">
        <v>124</v>
      </c>
      <c r="B21" s="145"/>
      <c r="C21" s="145">
        <f>YEAR($H$2)</f>
        <v>2019</v>
      </c>
      <c r="D21" s="145">
        <f>+C21+1</f>
        <v>2020</v>
      </c>
      <c r="E21" s="146">
        <f>+D21+1</f>
        <v>2021</v>
      </c>
      <c r="F21" s="152">
        <f>+E21+1</f>
        <v>2022</v>
      </c>
      <c r="H21" s="155" t="s">
        <v>133</v>
      </c>
      <c r="I21" s="154"/>
      <c r="J21" s="154"/>
      <c r="K21" s="145">
        <f>YEAR($H$2)</f>
        <v>2019</v>
      </c>
      <c r="L21" s="145">
        <f>+K21+1</f>
        <v>2020</v>
      </c>
      <c r="M21" s="146">
        <f>+L21+1</f>
        <v>2021</v>
      </c>
      <c r="N21" s="152">
        <f>+M21+1</f>
        <v>2022</v>
      </c>
      <c r="Q21" s="88"/>
    </row>
    <row r="22" spans="1:17" customFormat="1" x14ac:dyDescent="0.15">
      <c r="A22" s="139" t="s">
        <v>125</v>
      </c>
      <c r="B22" s="6"/>
      <c r="C22" s="174">
        <v>3</v>
      </c>
      <c r="D22" s="174">
        <v>2.5</v>
      </c>
      <c r="E22" s="174">
        <v>2</v>
      </c>
      <c r="F22" s="175">
        <v>1.75</v>
      </c>
      <c r="G22" s="1"/>
      <c r="H22" s="139" t="s">
        <v>155</v>
      </c>
      <c r="I22" s="6"/>
      <c r="J22" s="6"/>
      <c r="K22" s="174">
        <v>1</v>
      </c>
      <c r="L22" s="174">
        <v>1</v>
      </c>
      <c r="M22" s="174">
        <v>1</v>
      </c>
      <c r="N22" s="175">
        <v>1</v>
      </c>
      <c r="O22" s="1"/>
      <c r="P22" s="1"/>
      <c r="Q22" s="88"/>
    </row>
    <row r="23" spans="1:17" customFormat="1" x14ac:dyDescent="0.15">
      <c r="A23" s="139" t="s">
        <v>126</v>
      </c>
      <c r="B23" s="6"/>
      <c r="C23" s="177">
        <v>1E-3</v>
      </c>
      <c r="D23" s="177">
        <v>1.1000000000000001E-3</v>
      </c>
      <c r="E23" s="177">
        <v>1.1999999999999999E-3</v>
      </c>
      <c r="F23" s="178">
        <v>1.2999999999999999E-3</v>
      </c>
      <c r="G23" s="1"/>
      <c r="H23" s="139" t="s">
        <v>167</v>
      </c>
      <c r="I23" s="6"/>
      <c r="J23" s="6"/>
      <c r="K23" s="44">
        <v>500</v>
      </c>
      <c r="L23" s="1"/>
      <c r="M23" s="185"/>
      <c r="N23" s="141"/>
      <c r="O23" s="1"/>
      <c r="P23" s="1"/>
      <c r="Q23" s="88"/>
    </row>
    <row r="24" spans="1:17" customFormat="1" x14ac:dyDescent="0.15">
      <c r="A24" s="139" t="s">
        <v>129</v>
      </c>
      <c r="B24" s="6"/>
      <c r="C24" s="176">
        <v>0.1</v>
      </c>
      <c r="D24" s="176">
        <v>0.11</v>
      </c>
      <c r="E24" s="176">
        <v>0.12</v>
      </c>
      <c r="F24" s="179">
        <v>0.13</v>
      </c>
      <c r="G24" s="1"/>
      <c r="H24" s="139" t="s">
        <v>160</v>
      </c>
      <c r="I24" s="6"/>
      <c r="J24" s="6"/>
      <c r="K24" s="162">
        <v>0.2</v>
      </c>
      <c r="L24" s="14"/>
      <c r="M24" s="185"/>
      <c r="N24" s="141"/>
      <c r="O24" s="1"/>
      <c r="P24" s="1"/>
      <c r="Q24" s="88"/>
    </row>
    <row r="25" spans="1:17" customFormat="1" x14ac:dyDescent="0.15">
      <c r="A25" s="153" t="s">
        <v>139</v>
      </c>
      <c r="B25" s="154"/>
      <c r="C25" s="163">
        <v>1</v>
      </c>
      <c r="D25" s="163">
        <v>2</v>
      </c>
      <c r="E25" s="163">
        <v>3</v>
      </c>
      <c r="F25" s="164">
        <v>4</v>
      </c>
      <c r="G25" s="1"/>
      <c r="H25" s="155" t="s">
        <v>132</v>
      </c>
      <c r="I25" s="154"/>
      <c r="J25" s="154"/>
      <c r="K25" s="163">
        <v>1</v>
      </c>
      <c r="L25" s="163">
        <v>2</v>
      </c>
      <c r="M25" s="163">
        <v>3</v>
      </c>
      <c r="N25" s="164">
        <v>4</v>
      </c>
      <c r="O25" s="1"/>
      <c r="P25" s="1"/>
    </row>
    <row r="26" spans="1:17" customFormat="1" x14ac:dyDescent="0.15">
      <c r="A26" s="15"/>
      <c r="B26" s="88">
        <f>YEAR($H$2)</f>
        <v>2019</v>
      </c>
      <c r="C26" s="166"/>
      <c r="D26" s="165">
        <v>1000</v>
      </c>
      <c r="E26" s="165">
        <v>5000</v>
      </c>
      <c r="F26" s="167">
        <v>5000</v>
      </c>
      <c r="G26" s="1"/>
      <c r="H26" s="15"/>
      <c r="I26" s="88"/>
      <c r="J26" s="88">
        <f>YEAR($H$2)</f>
        <v>2019</v>
      </c>
      <c r="K26" s="44"/>
      <c r="L26" s="44"/>
      <c r="M26" s="44">
        <v>1</v>
      </c>
      <c r="N26" s="11">
        <v>1</v>
      </c>
      <c r="O26" s="1"/>
      <c r="P26" s="1"/>
    </row>
    <row r="27" spans="1:17" customFormat="1" x14ac:dyDescent="0.15">
      <c r="A27" s="15"/>
      <c r="B27" s="88">
        <f>+B26+1</f>
        <v>2020</v>
      </c>
      <c r="C27" s="165">
        <v>10000</v>
      </c>
      <c r="D27" s="165">
        <v>10000</v>
      </c>
      <c r="E27" s="165">
        <v>10000</v>
      </c>
      <c r="F27" s="167">
        <v>10000</v>
      </c>
      <c r="G27" s="1"/>
      <c r="H27" s="15"/>
      <c r="I27" s="88"/>
      <c r="J27" s="88">
        <f>+J26+1</f>
        <v>2020</v>
      </c>
      <c r="K27" s="44">
        <v>2</v>
      </c>
      <c r="L27" s="44">
        <v>2</v>
      </c>
      <c r="M27" s="44">
        <v>3</v>
      </c>
      <c r="N27" s="11">
        <v>3</v>
      </c>
      <c r="O27" s="1"/>
      <c r="P27" s="1"/>
    </row>
    <row r="28" spans="1:17" customFormat="1" x14ac:dyDescent="0.15">
      <c r="A28" s="15"/>
      <c r="B28" s="88">
        <f>+B27+1</f>
        <v>2021</v>
      </c>
      <c r="C28" s="165">
        <v>20000</v>
      </c>
      <c r="D28" s="165">
        <v>20000</v>
      </c>
      <c r="E28" s="165">
        <v>30000</v>
      </c>
      <c r="F28" s="167">
        <v>40000</v>
      </c>
      <c r="G28" s="1"/>
      <c r="H28" s="15"/>
      <c r="I28" s="88"/>
      <c r="J28" s="88">
        <f>+J27+1</f>
        <v>2021</v>
      </c>
      <c r="K28" s="44">
        <v>3</v>
      </c>
      <c r="L28" s="44">
        <v>3</v>
      </c>
      <c r="M28" s="44">
        <v>3</v>
      </c>
      <c r="N28" s="11">
        <v>4</v>
      </c>
      <c r="O28" s="1"/>
      <c r="P28" s="1"/>
    </row>
    <row r="29" spans="1:17" customFormat="1" x14ac:dyDescent="0.15">
      <c r="A29" s="13"/>
      <c r="B29" s="8">
        <f>+B28+1</f>
        <v>2022</v>
      </c>
      <c r="C29" s="168">
        <v>50000</v>
      </c>
      <c r="D29" s="168">
        <v>50000</v>
      </c>
      <c r="E29" s="168">
        <v>50000</v>
      </c>
      <c r="F29" s="169">
        <v>50000</v>
      </c>
      <c r="G29" s="1"/>
      <c r="H29" s="13"/>
      <c r="I29" s="8"/>
      <c r="J29" s="8">
        <f>+J28+1</f>
        <v>2022</v>
      </c>
      <c r="K29" s="118">
        <v>5</v>
      </c>
      <c r="L29" s="118">
        <v>7</v>
      </c>
      <c r="M29" s="118">
        <v>9</v>
      </c>
      <c r="N29" s="12">
        <v>12</v>
      </c>
      <c r="O29" s="1"/>
      <c r="P29" s="1"/>
    </row>
    <row r="30" spans="1:17" customFormat="1" x14ac:dyDescent="0.1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1"/>
      <c r="N30" s="88"/>
    </row>
    <row r="31" spans="1:17" customFormat="1" x14ac:dyDescent="0.15">
      <c r="A31" s="148" t="s">
        <v>136</v>
      </c>
      <c r="B31" s="149"/>
      <c r="C31" s="149"/>
      <c r="D31" s="149"/>
      <c r="E31" s="149"/>
      <c r="F31" s="150"/>
      <c r="G31" s="1"/>
      <c r="N31" s="88"/>
    </row>
    <row r="32" spans="1:17" customFormat="1" x14ac:dyDescent="0.15">
      <c r="A32" s="155"/>
      <c r="B32" s="154"/>
      <c r="C32" s="154">
        <f>YEAR($H$2)</f>
        <v>2019</v>
      </c>
      <c r="D32" s="154">
        <f>+C32+1</f>
        <v>2020</v>
      </c>
      <c r="E32" s="154">
        <f>+D32+1</f>
        <v>2021</v>
      </c>
      <c r="F32" s="156">
        <f>+E32+1</f>
        <v>2022</v>
      </c>
      <c r="G32" s="1"/>
      <c r="N32" s="88"/>
    </row>
    <row r="33" spans="1:14" customFormat="1" x14ac:dyDescent="0.15">
      <c r="A33" s="139" t="s">
        <v>140</v>
      </c>
      <c r="B33" s="6"/>
      <c r="C33" s="165">
        <v>1000</v>
      </c>
      <c r="D33" s="165">
        <v>10000</v>
      </c>
      <c r="E33" s="165">
        <v>20000</v>
      </c>
      <c r="F33" s="167">
        <v>50000</v>
      </c>
      <c r="G33" s="1"/>
      <c r="H33" s="1"/>
      <c r="I33" s="1"/>
      <c r="J33" s="2"/>
      <c r="K33" s="2"/>
      <c r="L33" s="2"/>
      <c r="M33" s="1"/>
      <c r="N33" s="1"/>
    </row>
    <row r="34" spans="1:14" customFormat="1" x14ac:dyDescent="0.15">
      <c r="A34" s="139" t="s">
        <v>152</v>
      </c>
      <c r="B34" s="6"/>
      <c r="C34" s="165">
        <v>1000</v>
      </c>
      <c r="D34" s="165">
        <v>15000</v>
      </c>
      <c r="E34" s="165">
        <v>30000</v>
      </c>
      <c r="F34" s="167">
        <v>75000</v>
      </c>
      <c r="G34" s="1"/>
      <c r="H34" s="1"/>
      <c r="I34" s="1"/>
      <c r="J34" s="2"/>
      <c r="K34" s="2"/>
      <c r="L34" s="2"/>
      <c r="M34" s="1"/>
      <c r="N34" s="1"/>
    </row>
    <row r="35" spans="1:14" customFormat="1" x14ac:dyDescent="0.15">
      <c r="A35" s="140" t="s">
        <v>129</v>
      </c>
      <c r="B35" s="7"/>
      <c r="C35" s="183">
        <v>0.1</v>
      </c>
      <c r="D35" s="183">
        <v>0.11</v>
      </c>
      <c r="E35" s="183">
        <v>0.12</v>
      </c>
      <c r="F35" s="184">
        <v>0.13</v>
      </c>
      <c r="G35" s="1"/>
      <c r="H35" s="1"/>
      <c r="I35" s="1"/>
      <c r="J35" s="2"/>
      <c r="K35" s="2"/>
      <c r="L35" s="2"/>
      <c r="M35" s="1"/>
      <c r="N35" s="1"/>
    </row>
    <row r="36" spans="1:14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1"/>
      <c r="N36" s="1"/>
    </row>
    <row r="37" spans="1:14" customFormat="1" x14ac:dyDescent="0.15">
      <c r="A37" s="159" t="s">
        <v>166</v>
      </c>
      <c r="B37" s="160"/>
      <c r="C37" s="160"/>
      <c r="D37" s="160"/>
      <c r="E37" s="160"/>
      <c r="F37" s="161"/>
      <c r="G37" s="1"/>
      <c r="H37" s="1"/>
      <c r="I37" s="1"/>
      <c r="J37" s="2"/>
      <c r="K37" s="2"/>
      <c r="L37" s="2"/>
      <c r="M37" s="1"/>
      <c r="N37" s="1"/>
    </row>
    <row r="38" spans="1:14" customFormat="1" x14ac:dyDescent="0.15">
      <c r="A38" s="153"/>
      <c r="B38" s="154"/>
      <c r="C38" s="154">
        <f>YEAR($H$2)</f>
        <v>2019</v>
      </c>
      <c r="D38" s="154">
        <f>+C38+1</f>
        <v>2020</v>
      </c>
      <c r="E38" s="154">
        <f>+D38+1</f>
        <v>2021</v>
      </c>
      <c r="F38" s="156">
        <f>+E38+1</f>
        <v>2022</v>
      </c>
      <c r="G38" s="1"/>
      <c r="H38" s="1"/>
      <c r="I38" s="1"/>
      <c r="J38" s="2"/>
      <c r="K38" s="2"/>
      <c r="L38" s="2"/>
      <c r="M38" s="1"/>
      <c r="N38" s="1"/>
    </row>
    <row r="39" spans="1:14" customFormat="1" x14ac:dyDescent="0.15">
      <c r="A39" s="139" t="s">
        <v>168</v>
      </c>
      <c r="B39" s="6"/>
      <c r="C39" s="176">
        <v>-0.1</v>
      </c>
      <c r="D39" s="176">
        <v>-0.1</v>
      </c>
      <c r="E39" s="176">
        <v>-0.1</v>
      </c>
      <c r="F39" s="179">
        <v>-0.1</v>
      </c>
      <c r="G39" s="1"/>
      <c r="H39" s="1"/>
      <c r="I39" s="1"/>
      <c r="J39" s="2"/>
      <c r="K39" s="2"/>
      <c r="L39" s="2"/>
      <c r="M39" s="1"/>
      <c r="N39" s="1"/>
    </row>
    <row r="40" spans="1:14" customFormat="1" x14ac:dyDescent="0.15">
      <c r="A40" s="139" t="s">
        <v>182</v>
      </c>
      <c r="B40" s="6"/>
      <c r="C40" s="174">
        <v>0.25</v>
      </c>
      <c r="D40" s="191" t="s">
        <v>172</v>
      </c>
      <c r="E40" s="89"/>
      <c r="F40" s="141"/>
      <c r="G40" s="1"/>
      <c r="H40" s="1"/>
      <c r="I40" s="1"/>
      <c r="J40" s="2"/>
      <c r="K40" s="2"/>
      <c r="L40" s="2"/>
      <c r="M40" s="1"/>
      <c r="N40" s="1"/>
    </row>
    <row r="41" spans="1:14" customFormat="1" x14ac:dyDescent="0.15">
      <c r="A41" s="155" t="s">
        <v>164</v>
      </c>
      <c r="B41" s="154"/>
      <c r="C41" s="154">
        <f>YEAR($H$2)</f>
        <v>2019</v>
      </c>
      <c r="D41" s="154">
        <f>+C41+1</f>
        <v>2020</v>
      </c>
      <c r="E41" s="154">
        <f>+D41+1</f>
        <v>2021</v>
      </c>
      <c r="F41" s="156">
        <f>+E41+1</f>
        <v>2022</v>
      </c>
      <c r="G41" s="1"/>
      <c r="H41" s="1"/>
      <c r="I41" s="1"/>
      <c r="J41" s="2"/>
      <c r="K41" s="2"/>
      <c r="L41" s="2"/>
      <c r="M41" s="1"/>
      <c r="N41" s="1"/>
    </row>
    <row r="42" spans="1:14" customFormat="1" x14ac:dyDescent="0.15">
      <c r="A42" s="157" t="s">
        <v>237</v>
      </c>
      <c r="B42" s="88"/>
      <c r="C42" s="45">
        <v>5</v>
      </c>
      <c r="D42" s="45">
        <v>6</v>
      </c>
      <c r="E42" s="45">
        <v>6</v>
      </c>
      <c r="F42" s="116">
        <v>6</v>
      </c>
      <c r="G42" s="1"/>
      <c r="H42" s="1"/>
      <c r="I42" s="1"/>
      <c r="J42" s="2"/>
      <c r="K42" s="2"/>
      <c r="L42" s="2"/>
      <c r="M42" s="1"/>
      <c r="N42" s="1"/>
    </row>
    <row r="43" spans="1:14" customFormat="1" x14ac:dyDescent="0.15">
      <c r="A43" s="157" t="s">
        <v>129</v>
      </c>
      <c r="B43" s="88"/>
      <c r="C43" s="176">
        <v>0.1</v>
      </c>
      <c r="D43" s="176">
        <v>0.11</v>
      </c>
      <c r="E43" s="176">
        <v>0.12</v>
      </c>
      <c r="F43" s="179">
        <v>0.13</v>
      </c>
      <c r="G43" s="1"/>
      <c r="H43" s="1"/>
      <c r="I43" s="1"/>
      <c r="J43" s="2"/>
      <c r="K43" s="2"/>
      <c r="L43" s="2"/>
      <c r="M43" s="1"/>
      <c r="N43" s="1"/>
    </row>
    <row r="44" spans="1:14" customFormat="1" x14ac:dyDescent="0.15">
      <c r="A44" s="157" t="s">
        <v>165</v>
      </c>
      <c r="B44" s="137"/>
      <c r="C44" s="137">
        <f>C42*C43</f>
        <v>0.5</v>
      </c>
      <c r="D44" s="89">
        <f t="shared" ref="D44:F44" si="2">D42*D43</f>
        <v>0.66</v>
      </c>
      <c r="E44" s="89">
        <f t="shared" si="2"/>
        <v>0.72</v>
      </c>
      <c r="F44" s="188">
        <f t="shared" si="2"/>
        <v>0.78</v>
      </c>
      <c r="G44" s="1"/>
      <c r="H44" s="1"/>
      <c r="I44" s="1"/>
      <c r="J44" s="2"/>
      <c r="K44" s="2"/>
      <c r="L44" s="2"/>
      <c r="M44" s="1"/>
      <c r="N44" s="1"/>
    </row>
    <row r="45" spans="1:14" customFormat="1" x14ac:dyDescent="0.15">
      <c r="A45" s="158" t="s">
        <v>175</v>
      </c>
      <c r="B45" s="189"/>
      <c r="C45" s="189"/>
      <c r="D45" s="189"/>
      <c r="E45" s="189"/>
      <c r="F45" s="190"/>
      <c r="G45" s="1"/>
      <c r="H45" s="1"/>
      <c r="I45" s="1"/>
      <c r="J45" s="2"/>
      <c r="K45" s="2"/>
      <c r="L45" s="2"/>
      <c r="M45" s="1"/>
      <c r="N45" s="1"/>
    </row>
    <row r="46" spans="1:14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1"/>
      <c r="N46" s="89"/>
    </row>
    <row r="47" spans="1:14" s="142" customFormat="1" ht="16" x14ac:dyDescent="0.2">
      <c r="A47" s="142" t="s">
        <v>142</v>
      </c>
    </row>
    <row r="48" spans="1:14" customFormat="1" x14ac:dyDescent="0.15">
      <c r="A48" s="1"/>
      <c r="B48" s="1"/>
      <c r="C48" s="1"/>
      <c r="D48" s="1"/>
      <c r="E48" s="1"/>
      <c r="F48" s="1"/>
    </row>
    <row r="49" spans="1:13" customFormat="1" x14ac:dyDescent="0.15">
      <c r="A49" s="212" t="s">
        <v>197</v>
      </c>
      <c r="B49" s="213"/>
      <c r="C49" s="213"/>
      <c r="D49" s="213"/>
      <c r="E49" s="213"/>
      <c r="F49" s="214"/>
      <c r="G49" s="88"/>
      <c r="H49" s="212" t="s">
        <v>63</v>
      </c>
      <c r="I49" s="213"/>
      <c r="J49" s="213"/>
      <c r="K49" s="213"/>
      <c r="L49" s="214"/>
      <c r="M49" s="88"/>
    </row>
    <row r="50" spans="1:13" customFormat="1" x14ac:dyDescent="0.15">
      <c r="A50" s="15" t="s">
        <v>82</v>
      </c>
      <c r="B50" s="88"/>
      <c r="C50" s="88"/>
      <c r="D50" s="94">
        <v>4</v>
      </c>
      <c r="E50" s="88"/>
      <c r="F50" s="92"/>
      <c r="G50" s="88"/>
      <c r="H50" s="157" t="s">
        <v>236</v>
      </c>
      <c r="I50" s="14"/>
      <c r="J50" s="44">
        <v>7500</v>
      </c>
      <c r="K50" s="89"/>
      <c r="L50" s="141"/>
      <c r="M50" s="88"/>
    </row>
    <row r="51" spans="1:13" customFormat="1" x14ac:dyDescent="0.15">
      <c r="A51" s="155" t="s">
        <v>81</v>
      </c>
      <c r="B51" s="154"/>
      <c r="C51" s="96">
        <v>1</v>
      </c>
      <c r="D51" s="96">
        <v>2</v>
      </c>
      <c r="E51" s="96">
        <v>3</v>
      </c>
      <c r="F51" s="122">
        <v>4</v>
      </c>
      <c r="G51" s="88"/>
      <c r="H51" s="15" t="s">
        <v>111</v>
      </c>
      <c r="I51" s="14"/>
      <c r="J51" s="44">
        <v>800</v>
      </c>
      <c r="K51" s="89"/>
      <c r="L51" s="141"/>
      <c r="M51" s="1"/>
    </row>
    <row r="52" spans="1:13" customFormat="1" x14ac:dyDescent="0.15">
      <c r="A52" s="91"/>
      <c r="B52" s="90">
        <f>YEAR($H$2)</f>
        <v>2019</v>
      </c>
      <c r="C52" s="44">
        <v>2</v>
      </c>
      <c r="D52" s="44">
        <v>2</v>
      </c>
      <c r="E52" s="44">
        <v>3</v>
      </c>
      <c r="F52" s="11">
        <v>3</v>
      </c>
      <c r="G52" s="88"/>
      <c r="H52" s="15" t="s">
        <v>112</v>
      </c>
      <c r="I52" s="89"/>
      <c r="J52" s="162">
        <v>0.1</v>
      </c>
      <c r="K52" s="89"/>
      <c r="L52" s="141"/>
      <c r="M52" s="1"/>
    </row>
    <row r="53" spans="1:13" customFormat="1" x14ac:dyDescent="0.15">
      <c r="A53" s="91"/>
      <c r="B53" s="90">
        <f>+B52+1</f>
        <v>2020</v>
      </c>
      <c r="C53" s="44">
        <v>5</v>
      </c>
      <c r="D53" s="44">
        <v>6</v>
      </c>
      <c r="E53" s="44">
        <v>7</v>
      </c>
      <c r="F53" s="11">
        <v>8</v>
      </c>
      <c r="G53" s="88"/>
      <c r="H53" s="15" t="s">
        <v>115</v>
      </c>
      <c r="I53" s="131"/>
      <c r="J53" s="135">
        <v>0.03</v>
      </c>
      <c r="K53" s="89"/>
      <c r="L53" s="141"/>
      <c r="M53" s="1"/>
    </row>
    <row r="54" spans="1:13" customFormat="1" x14ac:dyDescent="0.15">
      <c r="A54" s="91"/>
      <c r="B54" s="90">
        <f>+B53+1</f>
        <v>2021</v>
      </c>
      <c r="C54" s="44">
        <v>9</v>
      </c>
      <c r="D54" s="44">
        <v>10</v>
      </c>
      <c r="E54" s="44">
        <v>11</v>
      </c>
      <c r="F54" s="11">
        <v>12</v>
      </c>
      <c r="G54" s="88"/>
      <c r="H54" s="272" t="s">
        <v>194</v>
      </c>
      <c r="I54" s="216"/>
      <c r="J54" s="183">
        <v>5.0000000000000001E-3</v>
      </c>
      <c r="K54" s="286" t="s">
        <v>207</v>
      </c>
      <c r="L54" s="285">
        <v>5000</v>
      </c>
    </row>
    <row r="55" spans="1:13" customFormat="1" x14ac:dyDescent="0.15">
      <c r="A55" s="123"/>
      <c r="B55" s="124">
        <f>+B54+1</f>
        <v>2022</v>
      </c>
      <c r="C55" s="118">
        <v>13</v>
      </c>
      <c r="D55" s="118">
        <v>13</v>
      </c>
      <c r="E55" s="118">
        <v>13</v>
      </c>
      <c r="F55" s="12">
        <v>13</v>
      </c>
      <c r="G55" s="88"/>
      <c r="H55" s="1"/>
      <c r="I55" s="1"/>
      <c r="J55" s="2"/>
      <c r="K55" s="2"/>
      <c r="L55" s="2"/>
      <c r="M55" s="1"/>
    </row>
    <row r="56" spans="1:13" customFormat="1" x14ac:dyDescent="0.15">
      <c r="A56" s="1"/>
      <c r="B56" s="1"/>
      <c r="C56" s="1"/>
      <c r="D56" s="1"/>
      <c r="E56" s="1"/>
      <c r="F56" s="1"/>
      <c r="G56" s="88"/>
      <c r="H56" s="9" t="s">
        <v>69</v>
      </c>
      <c r="I56" s="119"/>
      <c r="J56" s="257"/>
      <c r="K56" s="257" t="s">
        <v>233</v>
      </c>
      <c r="L56" s="258" t="s">
        <v>192</v>
      </c>
      <c r="M56" s="1"/>
    </row>
    <row r="57" spans="1:13" customFormat="1" x14ac:dyDescent="0.15">
      <c r="A57" s="212" t="s">
        <v>199</v>
      </c>
      <c r="B57" s="213"/>
      <c r="C57" s="213"/>
      <c r="D57" s="213"/>
      <c r="E57" s="213"/>
      <c r="F57" s="214"/>
      <c r="G57" s="88"/>
      <c r="H57" s="268"/>
      <c r="I57" s="134"/>
      <c r="J57" s="263" t="s">
        <v>193</v>
      </c>
      <c r="K57" s="263" t="s">
        <v>232</v>
      </c>
      <c r="L57" s="269" t="s">
        <v>234</v>
      </c>
      <c r="M57" s="1"/>
    </row>
    <row r="58" spans="1:13" customFormat="1" x14ac:dyDescent="0.15">
      <c r="A58" s="153" t="s">
        <v>200</v>
      </c>
      <c r="B58" s="154"/>
      <c r="C58" s="96">
        <v>1</v>
      </c>
      <c r="D58" s="96">
        <v>2</v>
      </c>
      <c r="E58" s="96">
        <v>3</v>
      </c>
      <c r="F58" s="122">
        <v>4</v>
      </c>
      <c r="G58" s="88"/>
      <c r="H58" s="121" t="s">
        <v>71</v>
      </c>
      <c r="I58" s="84"/>
      <c r="J58" s="44">
        <v>2000</v>
      </c>
      <c r="K58" s="44">
        <v>10000</v>
      </c>
      <c r="L58" s="11">
        <v>2500</v>
      </c>
      <c r="M58" s="1"/>
    </row>
    <row r="59" spans="1:13" customFormat="1" x14ac:dyDescent="0.15">
      <c r="A59" s="91"/>
      <c r="B59" s="90">
        <f>YEAR($H$2)</f>
        <v>2019</v>
      </c>
      <c r="C59" s="44">
        <v>0</v>
      </c>
      <c r="D59" s="44">
        <v>0</v>
      </c>
      <c r="E59" s="44">
        <v>1</v>
      </c>
      <c r="F59" s="11">
        <v>1</v>
      </c>
      <c r="G59" s="88"/>
      <c r="H59" s="121" t="s">
        <v>72</v>
      </c>
      <c r="I59" s="88"/>
      <c r="J59" s="44">
        <v>1000</v>
      </c>
      <c r="K59" s="44">
        <v>2000</v>
      </c>
      <c r="L59" s="11">
        <v>500</v>
      </c>
      <c r="M59" s="1"/>
    </row>
    <row r="60" spans="1:13" customFormat="1" x14ac:dyDescent="0.15">
      <c r="A60" s="91"/>
      <c r="B60" s="90">
        <f>+B59+1</f>
        <v>2020</v>
      </c>
      <c r="C60" s="44">
        <v>1</v>
      </c>
      <c r="D60" s="44">
        <v>1</v>
      </c>
      <c r="E60" s="44">
        <v>1</v>
      </c>
      <c r="F60" s="11">
        <v>1</v>
      </c>
      <c r="G60" s="88"/>
      <c r="H60" s="121" t="s">
        <v>70</v>
      </c>
      <c r="I60" s="88"/>
      <c r="J60" s="44">
        <v>1000</v>
      </c>
      <c r="K60" s="44">
        <v>2000</v>
      </c>
      <c r="L60" s="11">
        <v>500</v>
      </c>
      <c r="M60" s="89"/>
    </row>
    <row r="61" spans="1:13" customFormat="1" x14ac:dyDescent="0.15">
      <c r="A61" s="91"/>
      <c r="B61" s="90">
        <f>+B60+1</f>
        <v>2021</v>
      </c>
      <c r="C61" s="44">
        <v>2</v>
      </c>
      <c r="D61" s="44">
        <v>2</v>
      </c>
      <c r="E61" s="44">
        <v>2</v>
      </c>
      <c r="F61" s="11">
        <v>2</v>
      </c>
      <c r="G61" s="137"/>
      <c r="H61" s="273" t="s">
        <v>11</v>
      </c>
      <c r="I61" s="216"/>
      <c r="J61" s="271">
        <f>SUM(J58:J60)</f>
        <v>4000</v>
      </c>
      <c r="K61" s="271">
        <f t="shared" ref="K61:L61" si="3">SUM(K58:K60)</f>
        <v>14000</v>
      </c>
      <c r="L61" s="274">
        <f t="shared" si="3"/>
        <v>3500</v>
      </c>
      <c r="M61" s="89"/>
    </row>
    <row r="62" spans="1:13" customFormat="1" x14ac:dyDescent="0.15">
      <c r="A62" s="123"/>
      <c r="B62" s="124">
        <f>+B61+1</f>
        <v>2022</v>
      </c>
      <c r="C62" s="118">
        <v>2</v>
      </c>
      <c r="D62" s="118">
        <v>2</v>
      </c>
      <c r="E62" s="118">
        <v>2</v>
      </c>
      <c r="F62" s="12">
        <v>2</v>
      </c>
      <c r="G62" s="137"/>
      <c r="H62" s="1"/>
      <c r="I62" s="1"/>
      <c r="J62" s="2"/>
      <c r="K62" s="2"/>
      <c r="L62" s="2"/>
      <c r="M62" s="1"/>
    </row>
    <row r="63" spans="1:13" customFormat="1" x14ac:dyDescent="0.15">
      <c r="A63" s="1"/>
      <c r="B63" s="1"/>
      <c r="C63" s="1"/>
      <c r="D63" s="1"/>
      <c r="E63" s="1"/>
      <c r="F63" s="1"/>
      <c r="G63" s="137"/>
      <c r="H63" s="9" t="s">
        <v>123</v>
      </c>
      <c r="I63" s="10"/>
      <c r="J63" s="10">
        <f>YEAR($H$2)</f>
        <v>2019</v>
      </c>
      <c r="K63" s="10">
        <f>+J63+1</f>
        <v>2020</v>
      </c>
      <c r="L63" s="132">
        <f>+K63+1</f>
        <v>2021</v>
      </c>
      <c r="M63" s="117">
        <f>+L63+1</f>
        <v>2022</v>
      </c>
    </row>
    <row r="64" spans="1:13" customFormat="1" x14ac:dyDescent="0.15">
      <c r="A64" s="212" t="s">
        <v>201</v>
      </c>
      <c r="B64" s="213"/>
      <c r="C64" s="10">
        <f>YEAR($H$2)</f>
        <v>2019</v>
      </c>
      <c r="D64" s="10">
        <f>+C64+1</f>
        <v>2020</v>
      </c>
      <c r="E64" s="132">
        <f>+D64+1</f>
        <v>2021</v>
      </c>
      <c r="F64" s="117">
        <f>+E64+1</f>
        <v>2022</v>
      </c>
      <c r="G64" s="1"/>
      <c r="H64" s="270" t="s">
        <v>109</v>
      </c>
      <c r="I64" s="6"/>
      <c r="J64" s="44">
        <v>10000</v>
      </c>
      <c r="K64" s="44">
        <v>20000</v>
      </c>
      <c r="L64" s="44">
        <v>40000</v>
      </c>
      <c r="M64" s="11">
        <v>50000</v>
      </c>
    </row>
    <row r="65" spans="1:15" customFormat="1" x14ac:dyDescent="0.15">
      <c r="A65" s="157" t="s">
        <v>202</v>
      </c>
      <c r="B65" s="88"/>
      <c r="C65" s="166">
        <v>50000</v>
      </c>
      <c r="D65" s="166">
        <v>75000</v>
      </c>
      <c r="E65" s="166">
        <v>100000</v>
      </c>
      <c r="F65" s="265">
        <v>200000</v>
      </c>
      <c r="G65" s="1"/>
      <c r="H65" s="15" t="s">
        <v>118</v>
      </c>
      <c r="I65" s="88"/>
      <c r="J65" s="44">
        <v>25000</v>
      </c>
      <c r="K65" s="44">
        <v>50000</v>
      </c>
      <c r="L65" s="44">
        <v>50000</v>
      </c>
      <c r="M65" s="11">
        <v>50000</v>
      </c>
    </row>
    <row r="66" spans="1:15" customFormat="1" x14ac:dyDescent="0.15">
      <c r="A66" s="157" t="s">
        <v>203</v>
      </c>
      <c r="B66" s="88"/>
      <c r="C66" s="166">
        <v>40</v>
      </c>
      <c r="D66" s="166">
        <v>35</v>
      </c>
      <c r="E66" s="166">
        <v>30</v>
      </c>
      <c r="F66" s="265">
        <v>30</v>
      </c>
      <c r="G66" s="1"/>
      <c r="H66" s="15" t="s">
        <v>119</v>
      </c>
      <c r="I66" s="88"/>
      <c r="J66" s="44">
        <v>25000</v>
      </c>
      <c r="K66" s="44">
        <v>75000</v>
      </c>
      <c r="L66" s="44">
        <v>100000</v>
      </c>
      <c r="M66" s="11">
        <v>100000</v>
      </c>
    </row>
    <row r="67" spans="1:15" customFormat="1" x14ac:dyDescent="0.15">
      <c r="A67" s="13" t="s">
        <v>87</v>
      </c>
      <c r="B67" s="8"/>
      <c r="C67" s="266">
        <v>25</v>
      </c>
      <c r="D67" s="266">
        <v>25</v>
      </c>
      <c r="E67" s="266">
        <v>25</v>
      </c>
      <c r="F67" s="267">
        <v>25</v>
      </c>
      <c r="G67" s="1"/>
      <c r="H67" s="158" t="s">
        <v>195</v>
      </c>
      <c r="I67" s="271"/>
      <c r="J67" s="118">
        <v>25000</v>
      </c>
      <c r="K67" s="118">
        <v>50000</v>
      </c>
      <c r="L67" s="118">
        <v>50000</v>
      </c>
      <c r="M67" s="12">
        <v>75000</v>
      </c>
    </row>
    <row r="68" spans="1:15" customFormat="1" x14ac:dyDescent="0.15">
      <c r="A68" s="88"/>
      <c r="B68" s="88"/>
      <c r="C68" s="88"/>
      <c r="D68" s="88"/>
      <c r="E68" s="88"/>
      <c r="F68" s="1"/>
      <c r="G68" s="1"/>
      <c r="H68" s="1"/>
      <c r="I68" s="1"/>
      <c r="J68" s="2"/>
      <c r="K68" s="2"/>
      <c r="L68" s="2"/>
      <c r="M68" s="1"/>
    </row>
    <row r="69" spans="1:15" customFormat="1" x14ac:dyDescent="0.15">
      <c r="A69" s="9" t="s">
        <v>196</v>
      </c>
      <c r="B69" s="125"/>
      <c r="C69" s="125"/>
      <c r="D69" s="275" t="s">
        <v>204</v>
      </c>
      <c r="E69" s="1"/>
      <c r="F69" s="1"/>
      <c r="G69" s="1"/>
      <c r="H69" s="1"/>
      <c r="I69" s="1"/>
      <c r="J69" s="2"/>
      <c r="K69" s="2"/>
      <c r="L69" s="2"/>
      <c r="M69" s="1"/>
    </row>
    <row r="70" spans="1:15" customFormat="1" x14ac:dyDescent="0.15">
      <c r="A70" s="15" t="s">
        <v>80</v>
      </c>
      <c r="B70" s="88"/>
      <c r="C70" s="44">
        <v>150000</v>
      </c>
      <c r="D70" s="126">
        <f>C70*(1+$C$81)+$C$78+$C$79+$C$80</f>
        <v>168825</v>
      </c>
      <c r="E70" s="1"/>
      <c r="F70" s="1"/>
      <c r="G70" s="1"/>
      <c r="H70" s="1"/>
      <c r="I70" s="1"/>
      <c r="J70" s="2"/>
      <c r="K70" s="2"/>
      <c r="L70" s="2"/>
      <c r="M70" s="1"/>
      <c r="N70" s="1"/>
      <c r="O70" s="1"/>
    </row>
    <row r="71" spans="1:15" customFormat="1" x14ac:dyDescent="0.15">
      <c r="A71" s="15" t="s">
        <v>76</v>
      </c>
      <c r="B71" s="88"/>
      <c r="C71" s="44">
        <v>125000</v>
      </c>
      <c r="D71" s="126">
        <f t="shared" ref="D71:D74" si="4">C71*(1+$C$81)+$C$78+$C$79+$C$80</f>
        <v>141912.5</v>
      </c>
      <c r="E71" s="1"/>
      <c r="F71" s="1"/>
      <c r="G71" s="1"/>
      <c r="H71" s="1"/>
      <c r="I71" s="1"/>
      <c r="J71" s="2"/>
      <c r="K71" s="2"/>
      <c r="L71" s="2"/>
      <c r="M71" s="1"/>
      <c r="N71" s="1"/>
      <c r="O71" s="1"/>
    </row>
    <row r="72" spans="1:15" customFormat="1" x14ac:dyDescent="0.15">
      <c r="A72" s="15" t="s">
        <v>75</v>
      </c>
      <c r="B72" s="88"/>
      <c r="C72" s="44">
        <v>175000</v>
      </c>
      <c r="D72" s="126">
        <f t="shared" si="4"/>
        <v>195737.5</v>
      </c>
      <c r="E72" s="1"/>
      <c r="F72" s="1"/>
      <c r="G72" s="1"/>
      <c r="H72" s="1"/>
      <c r="I72" s="1"/>
      <c r="J72" s="2"/>
      <c r="K72" s="2"/>
      <c r="L72" s="2"/>
      <c r="M72" s="1"/>
      <c r="N72" s="1"/>
      <c r="O72" s="1"/>
    </row>
    <row r="73" spans="1:15" s="89" customFormat="1" x14ac:dyDescent="0.15">
      <c r="A73" s="15" t="s">
        <v>77</v>
      </c>
      <c r="B73" s="88"/>
      <c r="C73" s="44">
        <v>60000</v>
      </c>
      <c r="D73" s="126">
        <f t="shared" si="4"/>
        <v>71940</v>
      </c>
    </row>
    <row r="74" spans="1:15" s="89" customFormat="1" x14ac:dyDescent="0.15">
      <c r="A74" s="15" t="s">
        <v>79</v>
      </c>
      <c r="B74" s="88"/>
      <c r="C74" s="44">
        <v>100000</v>
      </c>
      <c r="D74" s="126">
        <f t="shared" si="4"/>
        <v>115000</v>
      </c>
    </row>
    <row r="75" spans="1:15" s="89" customFormat="1" x14ac:dyDescent="0.15">
      <c r="A75" s="13" t="s">
        <v>78</v>
      </c>
      <c r="B75" s="8"/>
      <c r="C75" s="264">
        <v>0.05</v>
      </c>
      <c r="D75" s="128"/>
    </row>
    <row r="76" spans="1:15" s="89" customFormat="1" x14ac:dyDescent="0.15">
      <c r="A76" s="88"/>
      <c r="B76" s="88"/>
      <c r="C76" s="88"/>
      <c r="D76" s="88"/>
      <c r="G76" s="14"/>
    </row>
    <row r="77" spans="1:15" s="89" customFormat="1" x14ac:dyDescent="0.15">
      <c r="A77" s="9" t="s">
        <v>83</v>
      </c>
      <c r="B77" s="10"/>
      <c r="C77" s="117"/>
      <c r="D77" s="88"/>
      <c r="G77" s="14"/>
    </row>
    <row r="78" spans="1:15" s="89" customFormat="1" x14ac:dyDescent="0.15">
      <c r="A78" s="139" t="s">
        <v>231</v>
      </c>
      <c r="B78" s="88"/>
      <c r="C78" s="11">
        <v>450</v>
      </c>
      <c r="D78" s="88"/>
      <c r="G78" s="14"/>
    </row>
    <row r="79" spans="1:15" s="89" customFormat="1" x14ac:dyDescent="0.15">
      <c r="A79" s="48" t="s">
        <v>32</v>
      </c>
      <c r="B79" s="88"/>
      <c r="C79" s="11">
        <v>5900</v>
      </c>
      <c r="D79" s="88"/>
      <c r="G79" s="14"/>
    </row>
    <row r="80" spans="1:15" s="89" customFormat="1" x14ac:dyDescent="0.15">
      <c r="A80" s="157" t="s">
        <v>135</v>
      </c>
      <c r="B80" s="88"/>
      <c r="C80" s="11">
        <v>1000</v>
      </c>
      <c r="D80" s="88"/>
      <c r="E80"/>
      <c r="G80" s="14"/>
    </row>
    <row r="81" spans="1:13" s="89" customFormat="1" x14ac:dyDescent="0.15">
      <c r="A81" s="129" t="s">
        <v>33</v>
      </c>
      <c r="B81" s="8"/>
      <c r="C81" s="130">
        <v>7.6499999999999999E-2</v>
      </c>
      <c r="D81" s="88"/>
      <c r="E81"/>
      <c r="G81" s="14"/>
    </row>
    <row r="82" spans="1:13" s="89" customFormat="1" x14ac:dyDescent="0.15">
      <c r="D82"/>
      <c r="E82"/>
      <c r="G82" s="14"/>
    </row>
    <row r="83" spans="1:13" s="142" customFormat="1" ht="16" x14ac:dyDescent="0.2">
      <c r="A83" s="142" t="s">
        <v>212</v>
      </c>
      <c r="G83" s="205"/>
    </row>
    <row r="84" spans="1:13" s="89" customFormat="1" x14ac:dyDescent="0.15">
      <c r="D84"/>
      <c r="E84"/>
      <c r="G84" s="14"/>
      <c r="H84" s="137"/>
      <c r="I84" s="137"/>
      <c r="J84" s="137"/>
      <c r="K84" s="137"/>
      <c r="L84" s="137"/>
      <c r="M84" s="137"/>
    </row>
    <row r="85" spans="1:13" s="89" customFormat="1" x14ac:dyDescent="0.15">
      <c r="A85" s="212" t="s">
        <v>217</v>
      </c>
      <c r="B85" s="213"/>
      <c r="C85" s="213"/>
      <c r="D85" s="214"/>
      <c r="E85"/>
      <c r="G85" s="14"/>
      <c r="H85" s="88"/>
      <c r="I85" s="88"/>
      <c r="J85" s="137"/>
      <c r="K85" s="137"/>
      <c r="L85" s="137"/>
      <c r="M85" s="137"/>
    </row>
    <row r="86" spans="1:13" s="89" customFormat="1" x14ac:dyDescent="0.15">
      <c r="A86" s="139" t="s">
        <v>213</v>
      </c>
      <c r="D86" s="289">
        <v>0.5</v>
      </c>
      <c r="E86"/>
      <c r="G86" s="14"/>
    </row>
    <row r="87" spans="1:13" s="89" customFormat="1" x14ac:dyDescent="0.15">
      <c r="A87" s="139" t="s">
        <v>214</v>
      </c>
      <c r="D87" s="294">
        <v>0.5</v>
      </c>
      <c r="G87" s="14"/>
    </row>
    <row r="88" spans="1:13" s="89" customFormat="1" x14ac:dyDescent="0.15">
      <c r="A88" s="139" t="s">
        <v>216</v>
      </c>
      <c r="D88" s="178">
        <v>0.1</v>
      </c>
      <c r="G88" s="14"/>
    </row>
    <row r="89" spans="1:13" s="89" customFormat="1" x14ac:dyDescent="0.15">
      <c r="A89" s="140" t="s">
        <v>218</v>
      </c>
      <c r="B89" s="216"/>
      <c r="C89" s="216"/>
      <c r="D89" s="290">
        <v>0.35</v>
      </c>
      <c r="G89" s="14"/>
    </row>
    <row r="90" spans="1:13" s="89" customFormat="1" x14ac:dyDescent="0.15">
      <c r="G90" s="14"/>
      <c r="H90" s="14"/>
      <c r="I90" s="14"/>
      <c r="K90" s="84"/>
      <c r="M90" s="14"/>
    </row>
    <row r="91" spans="1:13" s="89" customFormat="1" x14ac:dyDescent="0.15">
      <c r="G91" s="14"/>
      <c r="H91" s="14"/>
      <c r="I91" s="14"/>
      <c r="K91" s="84"/>
      <c r="M91" s="14"/>
    </row>
    <row r="92" spans="1:13" s="89" customFormat="1" x14ac:dyDescent="0.15">
      <c r="G92" s="14"/>
      <c r="H92" s="14"/>
      <c r="I92" s="14"/>
      <c r="K92" s="84"/>
      <c r="M92" s="14"/>
    </row>
    <row r="93" spans="1:13" s="89" customFormat="1" x14ac:dyDescent="0.15">
      <c r="G93" s="14"/>
      <c r="H93" s="14"/>
      <c r="I93" s="14"/>
      <c r="K93" s="84"/>
      <c r="M93" s="14"/>
    </row>
    <row r="94" spans="1:13" s="89" customFormat="1" x14ac:dyDescent="0.15">
      <c r="G94" s="14"/>
      <c r="H94" s="14"/>
      <c r="I94" s="14"/>
      <c r="K94" s="84"/>
      <c r="M94" s="14"/>
    </row>
    <row r="95" spans="1:13" s="89" customFormat="1" x14ac:dyDescent="0.15">
      <c r="G95" s="14"/>
      <c r="H95" s="14"/>
      <c r="I95" s="14"/>
      <c r="K95" s="84"/>
      <c r="M95" s="14"/>
    </row>
    <row r="96" spans="1:13" s="89" customFormat="1" x14ac:dyDescent="0.15">
      <c r="G96" s="14"/>
      <c r="H96" s="14"/>
      <c r="I96" s="14"/>
      <c r="K96" s="84"/>
      <c r="M96" s="14"/>
    </row>
    <row r="97" spans="4:96" s="89" customFormat="1" x14ac:dyDescent="0.15">
      <c r="G97" s="14"/>
      <c r="H97" s="14"/>
      <c r="I97" s="14"/>
      <c r="K97" s="84"/>
      <c r="M97" s="14"/>
    </row>
    <row r="98" spans="4:96" s="89" customFormat="1" x14ac:dyDescent="0.15">
      <c r="D98" s="93"/>
      <c r="F98" s="14"/>
      <c r="G98" s="14"/>
      <c r="H98" s="14"/>
      <c r="I98" s="14"/>
      <c r="K98" s="84"/>
      <c r="M98" s="14"/>
    </row>
    <row r="99" spans="4:96" s="89" customFormat="1" x14ac:dyDescent="0.15">
      <c r="D99" s="93"/>
      <c r="F99" s="14"/>
      <c r="G99" s="14"/>
      <c r="H99" s="14"/>
      <c r="I99" s="14"/>
      <c r="K99" s="84"/>
      <c r="M99" s="14"/>
    </row>
    <row r="100" spans="4:96" s="89" customFormat="1" x14ac:dyDescent="0.15">
      <c r="D100" s="93"/>
      <c r="F100" s="14"/>
      <c r="G100" s="14"/>
      <c r="H100" s="14"/>
      <c r="I100" s="14"/>
      <c r="K100" s="84"/>
      <c r="M100" s="14"/>
    </row>
    <row r="101" spans="4:96" s="89" customFormat="1" x14ac:dyDescent="0.15">
      <c r="D101" s="93"/>
      <c r="F101" s="14"/>
      <c r="G101" s="14"/>
      <c r="H101" s="14"/>
      <c r="I101" s="14"/>
      <c r="K101" s="84"/>
      <c r="M101" s="14"/>
    </row>
    <row r="102" spans="4:96" s="89" customFormat="1" x14ac:dyDescent="0.15">
      <c r="D102" s="93"/>
      <c r="F102" s="14"/>
      <c r="G102" s="14"/>
      <c r="H102" s="14"/>
      <c r="I102" s="14"/>
      <c r="K102" s="84"/>
      <c r="M102" s="14"/>
    </row>
    <row r="103" spans="4:96" s="89" customFormat="1" x14ac:dyDescent="0.15">
      <c r="D103" s="93"/>
      <c r="F103" s="14"/>
      <c r="G103" s="14"/>
      <c r="H103" s="14"/>
      <c r="I103" s="14"/>
      <c r="K103" s="84"/>
      <c r="M103" s="14"/>
    </row>
    <row r="104" spans="4:96" x14ac:dyDescent="0.15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</row>
    <row r="105" spans="4:96" x14ac:dyDescent="0.15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</row>
    <row r="106" spans="4:96" x14ac:dyDescent="0.15"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</row>
    <row r="107" spans="4:96" x14ac:dyDescent="0.15"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</row>
    <row r="108" spans="4:96" x14ac:dyDescent="0.15"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</row>
    <row r="109" spans="4:96" x14ac:dyDescent="0.15"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</row>
    <row r="110" spans="4:96" x14ac:dyDescent="0.15"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</row>
    <row r="111" spans="4:96" x14ac:dyDescent="0.15"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</row>
    <row r="112" spans="4:96" x14ac:dyDescent="0.15"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</row>
    <row r="113" spans="8:96" x14ac:dyDescent="0.15"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</row>
    <row r="114" spans="8:96" x14ac:dyDescent="0.15"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</row>
    <row r="115" spans="8:96" x14ac:dyDescent="0.15"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</row>
    <row r="116" spans="8:96" x14ac:dyDescent="0.15"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</row>
    <row r="117" spans="8:96" x14ac:dyDescent="0.15"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</row>
    <row r="118" spans="8:96" x14ac:dyDescent="0.15"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</row>
    <row r="119" spans="8:96" x14ac:dyDescent="0.15"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8:96" x14ac:dyDescent="0.15"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8:96" x14ac:dyDescent="0.15"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8:96" x14ac:dyDescent="0.15"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8:96" x14ac:dyDescent="0.15"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8:96" x14ac:dyDescent="0.15"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8:96" x14ac:dyDescent="0.15"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8:96" x14ac:dyDescent="0.15"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8:96" x14ac:dyDescent="0.15"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8:96" x14ac:dyDescent="0.15"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8:23" x14ac:dyDescent="0.15"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8:23" x14ac:dyDescent="0.15"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8:23" x14ac:dyDescent="0.15"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8:23" x14ac:dyDescent="0.15"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8:23" x14ac:dyDescent="0.15"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8:23" x14ac:dyDescent="0.15"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8:23" x14ac:dyDescent="0.15"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8:23" x14ac:dyDescent="0.15"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8:23" x14ac:dyDescent="0.15"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8:23" x14ac:dyDescent="0.15"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8:23" x14ac:dyDescent="0.15"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8:23" x14ac:dyDescent="0.15"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8:23" x14ac:dyDescent="0.15"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8:23" x14ac:dyDescent="0.15"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8:23" x14ac:dyDescent="0.15"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8:23" x14ac:dyDescent="0.15"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8:23" x14ac:dyDescent="0.15"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8:23" x14ac:dyDescent="0.15"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8:23" x14ac:dyDescent="0.15"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8:23" x14ac:dyDescent="0.15"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8:23" x14ac:dyDescent="0.15"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8:23" x14ac:dyDescent="0.15"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8:23" x14ac:dyDescent="0.15"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8:23" x14ac:dyDescent="0.15"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8:23" x14ac:dyDescent="0.15"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8:23" x14ac:dyDescent="0.15"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8:23" x14ac:dyDescent="0.15"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8:23" x14ac:dyDescent="0.15"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8:23" x14ac:dyDescent="0.15"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8:23" x14ac:dyDescent="0.15"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8:23" x14ac:dyDescent="0.15"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8:23" x14ac:dyDescent="0.15"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8:23" x14ac:dyDescent="0.15"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8:23" x14ac:dyDescent="0.15"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8:23" x14ac:dyDescent="0.15"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8:23" x14ac:dyDescent="0.15"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8:23" x14ac:dyDescent="0.15"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8:23" x14ac:dyDescent="0.15"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8:23" x14ac:dyDescent="0.15"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8:23" x14ac:dyDescent="0.15"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8:23" x14ac:dyDescent="0.15"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8:23" x14ac:dyDescent="0.15"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8:23" x14ac:dyDescent="0.15"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8:23" x14ac:dyDescent="0.15"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8:23" x14ac:dyDescent="0.15"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8:23" x14ac:dyDescent="0.15"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8:23" x14ac:dyDescent="0.15"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8:23" x14ac:dyDescent="0.15"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8:23" x14ac:dyDescent="0.15"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8:23" x14ac:dyDescent="0.15"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8:23" x14ac:dyDescent="0.15"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8:23" x14ac:dyDescent="0.15"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8:23" x14ac:dyDescent="0.15"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8:23" x14ac:dyDescent="0.15"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8:23" x14ac:dyDescent="0.15"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8:23" x14ac:dyDescent="0.15"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8:23" x14ac:dyDescent="0.15"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8:23" x14ac:dyDescent="0.15"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8:23" x14ac:dyDescent="0.15"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8:23" x14ac:dyDescent="0.15"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8:23" x14ac:dyDescent="0.15"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8:23" x14ac:dyDescent="0.15"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8:23" x14ac:dyDescent="0.15"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8:23" x14ac:dyDescent="0.15"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8:23" x14ac:dyDescent="0.15"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8:23" x14ac:dyDescent="0.15"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8:23" x14ac:dyDescent="0.15">
      <c r="H195" s="51"/>
      <c r="I195" s="51"/>
      <c r="J195" s="51"/>
      <c r="K195" s="51"/>
    </row>
  </sheetData>
  <pageMargins left="0.7" right="0.7" top="0.75" bottom="0.75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theme="5" tint="0.39997558519241921"/>
  </sheetPr>
  <dimension ref="A1:XFB49"/>
  <sheetViews>
    <sheetView workbookViewId="0">
      <pane xSplit="6" ySplit="3" topLeftCell="G4" activePane="bottomRight" state="frozen"/>
      <selection activeCell="E7" sqref="E7"/>
      <selection pane="topRight" activeCell="E7" sqref="E7"/>
      <selection pane="bottomLeft" activeCell="E7" sqref="E7"/>
      <selection pane="bottomRight"/>
    </sheetView>
  </sheetViews>
  <sheetFormatPr baseColWidth="10" defaultColWidth="8.83203125" defaultRowHeight="12.75" customHeight="1" x14ac:dyDescent="0.15"/>
  <cols>
    <col min="1" max="1" width="39.5" style="54" customWidth="1"/>
    <col min="2" max="2" width="16.5" style="54" hidden="1" customWidth="1"/>
    <col min="3" max="3" width="12.1640625" style="76" customWidth="1"/>
    <col min="4" max="7" width="12.1640625" style="54" customWidth="1"/>
    <col min="8" max="54" width="12.1640625" style="52" customWidth="1"/>
    <col min="55" max="16384" width="8.83203125" style="52"/>
  </cols>
  <sheetData>
    <row r="1" spans="1:16382" s="32" customFormat="1" ht="18" x14ac:dyDescent="0.2">
      <c r="A1" s="206" t="str">
        <f>Main!H1</f>
        <v>BobCo</v>
      </c>
      <c r="B1" s="27"/>
      <c r="C1" s="28" t="s">
        <v>48</v>
      </c>
      <c r="D1" s="29"/>
      <c r="E1" s="29"/>
      <c r="F1" s="29"/>
      <c r="G1" s="30" t="s">
        <v>56</v>
      </c>
      <c r="H1" s="31"/>
      <c r="I1" s="31"/>
      <c r="J1" s="31"/>
      <c r="K1" s="30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16382" ht="16" x14ac:dyDescent="0.2">
      <c r="A2" s="332" t="s">
        <v>226</v>
      </c>
      <c r="B2" s="16"/>
      <c r="D2" s="33"/>
      <c r="E2" s="33"/>
      <c r="F2" s="33"/>
      <c r="G2" s="34">
        <f t="shared" ref="G2:BB2" si="0">YEAR(G3)</f>
        <v>2019</v>
      </c>
      <c r="H2" s="35">
        <f t="shared" si="0"/>
        <v>2019</v>
      </c>
      <c r="I2" s="35">
        <f t="shared" si="0"/>
        <v>2019</v>
      </c>
      <c r="J2" s="35">
        <f t="shared" si="0"/>
        <v>2019</v>
      </c>
      <c r="K2" s="35">
        <f t="shared" si="0"/>
        <v>2019</v>
      </c>
      <c r="L2" s="35">
        <f t="shared" si="0"/>
        <v>2019</v>
      </c>
      <c r="M2" s="35">
        <f t="shared" si="0"/>
        <v>2019</v>
      </c>
      <c r="N2" s="35">
        <f t="shared" si="0"/>
        <v>2019</v>
      </c>
      <c r="O2" s="35">
        <f t="shared" si="0"/>
        <v>2019</v>
      </c>
      <c r="P2" s="35">
        <f t="shared" si="0"/>
        <v>2019</v>
      </c>
      <c r="Q2" s="35">
        <f t="shared" si="0"/>
        <v>2019</v>
      </c>
      <c r="R2" s="35">
        <f t="shared" si="0"/>
        <v>2019</v>
      </c>
      <c r="S2" s="35">
        <f t="shared" si="0"/>
        <v>2020</v>
      </c>
      <c r="T2" s="35">
        <f t="shared" si="0"/>
        <v>2020</v>
      </c>
      <c r="U2" s="35">
        <f t="shared" si="0"/>
        <v>2020</v>
      </c>
      <c r="V2" s="35">
        <f t="shared" si="0"/>
        <v>2020</v>
      </c>
      <c r="W2" s="35">
        <f t="shared" si="0"/>
        <v>2020</v>
      </c>
      <c r="X2" s="35">
        <f t="shared" si="0"/>
        <v>2020</v>
      </c>
      <c r="Y2" s="35">
        <f t="shared" si="0"/>
        <v>2020</v>
      </c>
      <c r="Z2" s="35">
        <f t="shared" si="0"/>
        <v>2020</v>
      </c>
      <c r="AA2" s="35">
        <f t="shared" si="0"/>
        <v>2020</v>
      </c>
      <c r="AB2" s="35">
        <f t="shared" si="0"/>
        <v>2020</v>
      </c>
      <c r="AC2" s="35">
        <f t="shared" si="0"/>
        <v>2020</v>
      </c>
      <c r="AD2" s="35">
        <f t="shared" si="0"/>
        <v>2020</v>
      </c>
      <c r="AE2" s="35">
        <f t="shared" si="0"/>
        <v>2021</v>
      </c>
      <c r="AF2" s="35">
        <f t="shared" si="0"/>
        <v>2021</v>
      </c>
      <c r="AG2" s="35">
        <f t="shared" si="0"/>
        <v>2021</v>
      </c>
      <c r="AH2" s="35">
        <f t="shared" si="0"/>
        <v>2021</v>
      </c>
      <c r="AI2" s="35">
        <f t="shared" si="0"/>
        <v>2021</v>
      </c>
      <c r="AJ2" s="35">
        <f t="shared" si="0"/>
        <v>2021</v>
      </c>
      <c r="AK2" s="35">
        <f t="shared" si="0"/>
        <v>2021</v>
      </c>
      <c r="AL2" s="35">
        <f t="shared" si="0"/>
        <v>2021</v>
      </c>
      <c r="AM2" s="35">
        <f t="shared" si="0"/>
        <v>2021</v>
      </c>
      <c r="AN2" s="35">
        <f t="shared" si="0"/>
        <v>2021</v>
      </c>
      <c r="AO2" s="35">
        <f t="shared" si="0"/>
        <v>2021</v>
      </c>
      <c r="AP2" s="35">
        <f t="shared" si="0"/>
        <v>2021</v>
      </c>
      <c r="AQ2" s="35">
        <f t="shared" si="0"/>
        <v>2022</v>
      </c>
      <c r="AR2" s="35">
        <f t="shared" si="0"/>
        <v>2022</v>
      </c>
      <c r="AS2" s="35">
        <f t="shared" si="0"/>
        <v>2022</v>
      </c>
      <c r="AT2" s="35">
        <f t="shared" si="0"/>
        <v>2022</v>
      </c>
      <c r="AU2" s="35">
        <f t="shared" si="0"/>
        <v>2022</v>
      </c>
      <c r="AV2" s="35">
        <f t="shared" si="0"/>
        <v>2022</v>
      </c>
      <c r="AW2" s="35">
        <f t="shared" si="0"/>
        <v>2022</v>
      </c>
      <c r="AX2" s="35">
        <f t="shared" si="0"/>
        <v>2022</v>
      </c>
      <c r="AY2" s="35">
        <f t="shared" si="0"/>
        <v>2022</v>
      </c>
      <c r="AZ2" s="35">
        <f t="shared" si="0"/>
        <v>2022</v>
      </c>
      <c r="BA2" s="35">
        <f t="shared" si="0"/>
        <v>2022</v>
      </c>
      <c r="BB2" s="35">
        <f t="shared" si="0"/>
        <v>2022</v>
      </c>
    </row>
    <row r="3" spans="1:16382" s="53" customFormat="1" ht="13" x14ac:dyDescent="0.15">
      <c r="B3" s="36" t="s">
        <v>49</v>
      </c>
      <c r="C3" s="37">
        <f>YEAR(Main!$H$2)</f>
        <v>2019</v>
      </c>
      <c r="D3" s="38">
        <f>C3+1</f>
        <v>2020</v>
      </c>
      <c r="E3" s="38">
        <f t="shared" ref="E3:F3" si="1">D3+1</f>
        <v>2021</v>
      </c>
      <c r="F3" s="38">
        <f t="shared" si="1"/>
        <v>2022</v>
      </c>
      <c r="G3" s="39">
        <f>EOMONTH(Main!$H$2,0)</f>
        <v>43496</v>
      </c>
      <c r="H3" s="40">
        <f>EOMONTH(G3,1)</f>
        <v>43524</v>
      </c>
      <c r="I3" s="40">
        <f>EOMONTH(H3,1)</f>
        <v>43555</v>
      </c>
      <c r="J3" s="40">
        <f t="shared" ref="J3:BB3" si="2">EOMONTH(I3,1)</f>
        <v>43585</v>
      </c>
      <c r="K3" s="40">
        <f t="shared" si="2"/>
        <v>43616</v>
      </c>
      <c r="L3" s="40">
        <f t="shared" si="2"/>
        <v>43646</v>
      </c>
      <c r="M3" s="40">
        <f t="shared" si="2"/>
        <v>43677</v>
      </c>
      <c r="N3" s="40">
        <f t="shared" si="2"/>
        <v>43708</v>
      </c>
      <c r="O3" s="40">
        <f t="shared" si="2"/>
        <v>43738</v>
      </c>
      <c r="P3" s="40">
        <f t="shared" si="2"/>
        <v>43769</v>
      </c>
      <c r="Q3" s="40">
        <f t="shared" si="2"/>
        <v>43799</v>
      </c>
      <c r="R3" s="40">
        <f t="shared" si="2"/>
        <v>43830</v>
      </c>
      <c r="S3" s="40">
        <f t="shared" si="2"/>
        <v>43861</v>
      </c>
      <c r="T3" s="40">
        <f t="shared" si="2"/>
        <v>43890</v>
      </c>
      <c r="U3" s="40">
        <f t="shared" si="2"/>
        <v>43921</v>
      </c>
      <c r="V3" s="40">
        <f t="shared" si="2"/>
        <v>43951</v>
      </c>
      <c r="W3" s="40">
        <f t="shared" si="2"/>
        <v>43982</v>
      </c>
      <c r="X3" s="40">
        <f t="shared" si="2"/>
        <v>44012</v>
      </c>
      <c r="Y3" s="40">
        <f t="shared" si="2"/>
        <v>44043</v>
      </c>
      <c r="Z3" s="40">
        <f t="shared" si="2"/>
        <v>44074</v>
      </c>
      <c r="AA3" s="40">
        <f t="shared" si="2"/>
        <v>44104</v>
      </c>
      <c r="AB3" s="40">
        <f t="shared" si="2"/>
        <v>44135</v>
      </c>
      <c r="AC3" s="40">
        <f t="shared" si="2"/>
        <v>44165</v>
      </c>
      <c r="AD3" s="40">
        <f t="shared" si="2"/>
        <v>44196</v>
      </c>
      <c r="AE3" s="40">
        <f t="shared" si="2"/>
        <v>44227</v>
      </c>
      <c r="AF3" s="40">
        <f t="shared" si="2"/>
        <v>44255</v>
      </c>
      <c r="AG3" s="40">
        <f t="shared" si="2"/>
        <v>44286</v>
      </c>
      <c r="AH3" s="40">
        <f t="shared" si="2"/>
        <v>44316</v>
      </c>
      <c r="AI3" s="40">
        <f t="shared" si="2"/>
        <v>44347</v>
      </c>
      <c r="AJ3" s="40">
        <f t="shared" si="2"/>
        <v>44377</v>
      </c>
      <c r="AK3" s="40">
        <f t="shared" si="2"/>
        <v>44408</v>
      </c>
      <c r="AL3" s="40">
        <f t="shared" si="2"/>
        <v>44439</v>
      </c>
      <c r="AM3" s="40">
        <f t="shared" si="2"/>
        <v>44469</v>
      </c>
      <c r="AN3" s="40">
        <f t="shared" si="2"/>
        <v>44500</v>
      </c>
      <c r="AO3" s="40">
        <f t="shared" si="2"/>
        <v>44530</v>
      </c>
      <c r="AP3" s="40">
        <f t="shared" si="2"/>
        <v>44561</v>
      </c>
      <c r="AQ3" s="40">
        <f t="shared" si="2"/>
        <v>44592</v>
      </c>
      <c r="AR3" s="40">
        <f t="shared" si="2"/>
        <v>44620</v>
      </c>
      <c r="AS3" s="40">
        <f t="shared" si="2"/>
        <v>44651</v>
      </c>
      <c r="AT3" s="40">
        <f t="shared" si="2"/>
        <v>44681</v>
      </c>
      <c r="AU3" s="40">
        <f t="shared" si="2"/>
        <v>44712</v>
      </c>
      <c r="AV3" s="40">
        <f t="shared" si="2"/>
        <v>44742</v>
      </c>
      <c r="AW3" s="40">
        <f t="shared" si="2"/>
        <v>44773</v>
      </c>
      <c r="AX3" s="40">
        <f t="shared" si="2"/>
        <v>44804</v>
      </c>
      <c r="AY3" s="40">
        <f t="shared" si="2"/>
        <v>44834</v>
      </c>
      <c r="AZ3" s="40">
        <f t="shared" si="2"/>
        <v>44865</v>
      </c>
      <c r="BA3" s="40">
        <f t="shared" si="2"/>
        <v>44895</v>
      </c>
      <c r="BB3" s="40">
        <f t="shared" si="2"/>
        <v>44926</v>
      </c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  <c r="WUX3" s="40"/>
      <c r="WUY3" s="40"/>
      <c r="WUZ3" s="40"/>
      <c r="WVA3" s="40"/>
      <c r="WVB3" s="40"/>
      <c r="WVC3" s="40"/>
      <c r="WVD3" s="40"/>
      <c r="WVE3" s="40"/>
      <c r="WVF3" s="40"/>
      <c r="WVG3" s="40"/>
      <c r="WVH3" s="40"/>
      <c r="WVI3" s="40"/>
      <c r="WVJ3" s="40"/>
      <c r="WVK3" s="40"/>
      <c r="WVL3" s="40"/>
      <c r="WVM3" s="40"/>
      <c r="WVN3" s="40"/>
      <c r="WVO3" s="40"/>
      <c r="WVP3" s="40"/>
      <c r="WVQ3" s="40"/>
      <c r="WVR3" s="40"/>
      <c r="WVS3" s="40"/>
      <c r="WVT3" s="40"/>
      <c r="WVU3" s="40"/>
      <c r="WVV3" s="40"/>
      <c r="WVW3" s="40"/>
      <c r="WVX3" s="40"/>
      <c r="WVY3" s="40"/>
      <c r="WVZ3" s="40"/>
      <c r="WWA3" s="40"/>
      <c r="WWB3" s="40"/>
      <c r="WWC3" s="40"/>
      <c r="WWD3" s="40"/>
      <c r="WWE3" s="40"/>
      <c r="WWF3" s="40"/>
      <c r="WWG3" s="40"/>
      <c r="WWH3" s="40"/>
      <c r="WWI3" s="40"/>
      <c r="WWJ3" s="40"/>
      <c r="WWK3" s="40"/>
      <c r="WWL3" s="40"/>
      <c r="WWM3" s="40"/>
      <c r="WWN3" s="40"/>
      <c r="WWO3" s="40"/>
      <c r="WWP3" s="40"/>
      <c r="WWQ3" s="40"/>
      <c r="WWR3" s="40"/>
      <c r="WWS3" s="40"/>
      <c r="WWT3" s="40"/>
      <c r="WWU3" s="40"/>
      <c r="WWV3" s="40"/>
      <c r="WWW3" s="40"/>
      <c r="WWX3" s="40"/>
      <c r="WWY3" s="40"/>
      <c r="WWZ3" s="40"/>
      <c r="WXA3" s="40"/>
      <c r="WXB3" s="40"/>
      <c r="WXC3" s="40"/>
      <c r="WXD3" s="40"/>
      <c r="WXE3" s="40"/>
      <c r="WXF3" s="40"/>
      <c r="WXG3" s="40"/>
      <c r="WXH3" s="40"/>
      <c r="WXI3" s="40"/>
      <c r="WXJ3" s="40"/>
      <c r="WXK3" s="40"/>
      <c r="WXL3" s="40"/>
      <c r="WXM3" s="40"/>
      <c r="WXN3" s="40"/>
      <c r="WXO3" s="40"/>
      <c r="WXP3" s="40"/>
      <c r="WXQ3" s="40"/>
      <c r="WXR3" s="40"/>
      <c r="WXS3" s="40"/>
      <c r="WXT3" s="40"/>
      <c r="WXU3" s="40"/>
      <c r="WXV3" s="40"/>
      <c r="WXW3" s="40"/>
      <c r="WXX3" s="40"/>
      <c r="WXY3" s="40"/>
      <c r="WXZ3" s="40"/>
      <c r="WYA3" s="40"/>
      <c r="WYB3" s="40"/>
      <c r="WYC3" s="40"/>
      <c r="WYD3" s="40"/>
      <c r="WYE3" s="40"/>
      <c r="WYF3" s="40"/>
      <c r="WYG3" s="40"/>
      <c r="WYH3" s="40"/>
      <c r="WYI3" s="40"/>
      <c r="WYJ3" s="40"/>
      <c r="WYK3" s="40"/>
      <c r="WYL3" s="40"/>
      <c r="WYM3" s="40"/>
      <c r="WYN3" s="40"/>
      <c r="WYO3" s="40"/>
      <c r="WYP3" s="40"/>
      <c r="WYQ3" s="40"/>
      <c r="WYR3" s="40"/>
      <c r="WYS3" s="40"/>
      <c r="WYT3" s="40"/>
      <c r="WYU3" s="40"/>
      <c r="WYV3" s="40"/>
      <c r="WYW3" s="40"/>
      <c r="WYX3" s="40"/>
      <c r="WYY3" s="40"/>
      <c r="WYZ3" s="40"/>
      <c r="WZA3" s="40"/>
      <c r="WZB3" s="40"/>
      <c r="WZC3" s="40"/>
      <c r="WZD3" s="40"/>
      <c r="WZE3" s="40"/>
      <c r="WZF3" s="40"/>
      <c r="WZG3" s="40"/>
      <c r="WZH3" s="40"/>
      <c r="WZI3" s="40"/>
      <c r="WZJ3" s="40"/>
      <c r="WZK3" s="40"/>
      <c r="WZL3" s="40"/>
      <c r="WZM3" s="40"/>
      <c r="WZN3" s="40"/>
      <c r="WZO3" s="40"/>
      <c r="WZP3" s="40"/>
      <c r="WZQ3" s="40"/>
      <c r="WZR3" s="40"/>
      <c r="WZS3" s="40"/>
      <c r="WZT3" s="40"/>
      <c r="WZU3" s="40"/>
      <c r="WZV3" s="40"/>
      <c r="WZW3" s="40"/>
      <c r="WZX3" s="40"/>
      <c r="WZY3" s="40"/>
      <c r="WZZ3" s="40"/>
      <c r="XAA3" s="40"/>
      <c r="XAB3" s="40"/>
      <c r="XAC3" s="40"/>
      <c r="XAD3" s="40"/>
      <c r="XAE3" s="40"/>
      <c r="XAF3" s="40"/>
      <c r="XAG3" s="40"/>
      <c r="XAH3" s="40"/>
      <c r="XAI3" s="40"/>
      <c r="XAJ3" s="40"/>
      <c r="XAK3" s="40"/>
      <c r="XAL3" s="40"/>
      <c r="XAM3" s="40"/>
      <c r="XAN3" s="40"/>
      <c r="XAO3" s="40"/>
      <c r="XAP3" s="40"/>
      <c r="XAQ3" s="40"/>
      <c r="XAR3" s="40"/>
      <c r="XAS3" s="40"/>
      <c r="XAT3" s="40"/>
      <c r="XAU3" s="40"/>
      <c r="XAV3" s="40"/>
      <c r="XAW3" s="40"/>
      <c r="XAX3" s="40"/>
      <c r="XAY3" s="40"/>
      <c r="XAZ3" s="40"/>
      <c r="XBA3" s="40"/>
      <c r="XBB3" s="40"/>
      <c r="XBC3" s="40"/>
      <c r="XBD3" s="40"/>
      <c r="XBE3" s="40"/>
      <c r="XBF3" s="40"/>
      <c r="XBG3" s="40"/>
      <c r="XBH3" s="40"/>
      <c r="XBI3" s="40"/>
      <c r="XBJ3" s="40"/>
      <c r="XBK3" s="40"/>
      <c r="XBL3" s="40"/>
      <c r="XBM3" s="40"/>
      <c r="XBN3" s="40"/>
      <c r="XBO3" s="40"/>
      <c r="XBP3" s="40"/>
      <c r="XBQ3" s="40"/>
      <c r="XBR3" s="40"/>
      <c r="XBS3" s="40"/>
      <c r="XBT3" s="40"/>
      <c r="XBU3" s="40"/>
      <c r="XBV3" s="40"/>
      <c r="XBW3" s="40"/>
      <c r="XBX3" s="40"/>
      <c r="XBY3" s="40"/>
      <c r="XBZ3" s="40"/>
      <c r="XCA3" s="40"/>
      <c r="XCB3" s="40"/>
      <c r="XCC3" s="40"/>
      <c r="XCD3" s="40"/>
      <c r="XCE3" s="40"/>
      <c r="XCF3" s="40"/>
      <c r="XCG3" s="40"/>
      <c r="XCH3" s="40"/>
      <c r="XCI3" s="40"/>
      <c r="XCJ3" s="40"/>
      <c r="XCK3" s="40"/>
      <c r="XCL3" s="40"/>
      <c r="XCM3" s="40"/>
      <c r="XCN3" s="40"/>
      <c r="XCO3" s="40"/>
      <c r="XCP3" s="40"/>
      <c r="XCQ3" s="40"/>
      <c r="XCR3" s="40"/>
      <c r="XCS3" s="40"/>
      <c r="XCT3" s="40"/>
      <c r="XCU3" s="40"/>
      <c r="XCV3" s="40"/>
      <c r="XCW3" s="40"/>
      <c r="XCX3" s="40"/>
      <c r="XCY3" s="40"/>
      <c r="XCZ3" s="40"/>
      <c r="XDA3" s="40"/>
      <c r="XDB3" s="40"/>
      <c r="XDC3" s="40"/>
      <c r="XDD3" s="40"/>
      <c r="XDE3" s="40"/>
      <c r="XDF3" s="40"/>
      <c r="XDG3" s="40"/>
      <c r="XDH3" s="40"/>
      <c r="XDI3" s="40"/>
      <c r="XDJ3" s="40"/>
      <c r="XDK3" s="40"/>
      <c r="XDL3" s="40"/>
      <c r="XDM3" s="40"/>
      <c r="XDN3" s="40"/>
      <c r="XDO3" s="40"/>
      <c r="XDP3" s="40"/>
      <c r="XDQ3" s="40"/>
      <c r="XDR3" s="40"/>
      <c r="XDS3" s="40"/>
      <c r="XDT3" s="40"/>
      <c r="XDU3" s="40"/>
      <c r="XDV3" s="40"/>
      <c r="XDW3" s="40"/>
      <c r="XDX3" s="40"/>
      <c r="XDY3" s="40"/>
      <c r="XDZ3" s="40"/>
      <c r="XEA3" s="40"/>
      <c r="XEB3" s="40"/>
      <c r="XEC3" s="40"/>
      <c r="XED3" s="40"/>
      <c r="XEE3" s="40"/>
      <c r="XEF3" s="40"/>
      <c r="XEG3" s="40"/>
      <c r="XEH3" s="40"/>
      <c r="XEI3" s="40"/>
      <c r="XEJ3" s="40"/>
      <c r="XEK3" s="40"/>
      <c r="XEL3" s="40"/>
      <c r="XEM3" s="40"/>
      <c r="XEN3" s="40"/>
      <c r="XEO3" s="40"/>
      <c r="XEP3" s="40"/>
      <c r="XEQ3" s="40"/>
      <c r="XER3" s="40"/>
      <c r="XES3" s="40"/>
      <c r="XET3" s="40"/>
      <c r="XEU3" s="40"/>
      <c r="XEV3" s="40"/>
      <c r="XEW3" s="40"/>
      <c r="XEX3" s="40"/>
      <c r="XEY3" s="40"/>
      <c r="XEZ3" s="40"/>
      <c r="XFA3" s="40"/>
      <c r="XFB3" s="40"/>
    </row>
    <row r="4" spans="1:16382" s="142" customFormat="1" ht="16" x14ac:dyDescent="0.2">
      <c r="A4" s="142" t="s">
        <v>187</v>
      </c>
      <c r="B4" s="300"/>
      <c r="C4" s="303"/>
    </row>
    <row r="5" spans="1:16382" s="32" customFormat="1" ht="12.75" customHeight="1" x14ac:dyDescent="0.15">
      <c r="A5" s="58" t="s">
        <v>2</v>
      </c>
      <c r="B5" s="58"/>
      <c r="C5" s="307"/>
      <c r="D5" s="64"/>
      <c r="E5" s="64"/>
      <c r="F5" s="64"/>
      <c r="G5" s="65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</row>
    <row r="6" spans="1:16382" ht="12.75" customHeight="1" x14ac:dyDescent="0.15">
      <c r="A6" s="47" t="s">
        <v>179</v>
      </c>
      <c r="B6" s="54" t="s">
        <v>179</v>
      </c>
      <c r="C6" s="316">
        <f ca="1">IFERROR(INDEX(IS,MATCH($B6,IS!$A:$A,0),MATCH(Summary!C$3,IS!$3:$3,0)),0)</f>
        <v>83130.564181447611</v>
      </c>
      <c r="D6" s="21">
        <f ca="1">IFERROR(INDEX(IS,MATCH($B6,IS!$A:$A,0),MATCH(Summary!D$3,IS!$3:$3,0)),0)</f>
        <v>1062525.1318886424</v>
      </c>
      <c r="E6" s="21">
        <f ca="1">IFERROR(INDEX(IS,MATCH($B6,IS!$A:$A,0),MATCH(Summary!E$3,IS!$3:$3,0)),0)</f>
        <v>3059402.3600822547</v>
      </c>
      <c r="F6" s="21">
        <f ca="1">IFERROR(INDEX(IS,MATCH($B6,IS!$A:$A,0),MATCH(Summary!F$3,IS!$3:$3,0)),0)</f>
        <v>9397563.1792767886</v>
      </c>
      <c r="G6" s="21">
        <f ca="1">IFERROR(INDEX(IS,MATCH($B6,IS!$A:$A,0),MATCH(Summary!G$3,IS!$3:$3,0)),0)</f>
        <v>1000</v>
      </c>
      <c r="H6" s="22">
        <f ca="1">IFERROR(INDEX(IS,MATCH($B6,IS!$A:$A,0),MATCH(Summary!H$3,IS!$3:$3,0)),0)</f>
        <v>1520.833333333333</v>
      </c>
      <c r="I6" s="22">
        <f ca="1">IFERROR(INDEX(IS,MATCH($B6,IS!$A:$A,0),MATCH(Summary!I$3,IS!$3:$3,0)),0)</f>
        <v>1786.3672748858885</v>
      </c>
      <c r="J6" s="22">
        <f ca="1">IFERROR(INDEX(IS,MATCH($B6,IS!$A:$A,0),MATCH(Summary!J$3,IS!$3:$3,0)),0)</f>
        <v>2261.8801331004584</v>
      </c>
      <c r="K6" s="22">
        <f ca="1">IFERROR(INDEX(IS,MATCH($B6,IS!$A:$A,0),MATCH(Summary!K$3,IS!$3:$3,0)),0)</f>
        <v>2510.9461886345466</v>
      </c>
      <c r="L6" s="22">
        <f ca="1">IFERROR(INDEX(IS,MATCH($B6,IS!$A:$A,0),MATCH(Summary!L$3,IS!$3:$3,0)),0)</f>
        <v>2647.392626057474</v>
      </c>
      <c r="M6" s="22">
        <f ca="1">IFERROR(INDEX(IS,MATCH($B6,IS!$A:$A,0),MATCH(Summary!M$3,IS!$3:$3,0)),0)</f>
        <v>5727.8548239537977</v>
      </c>
      <c r="N6" s="22">
        <f ca="1">IFERROR(INDEX(IS,MATCH($B6,IS!$A:$A,0),MATCH(Summary!N$3,IS!$3:$3,0)),0)</f>
        <v>8956.1196370880607</v>
      </c>
      <c r="O6" s="22">
        <f ca="1">IFERROR(INDEX(IS,MATCH($B6,IS!$A:$A,0),MATCH(Summary!O$3,IS!$3:$3,0)),0)</f>
        <v>12267.704149973679</v>
      </c>
      <c r="P6" s="22">
        <f ca="1">IFERROR(INDEX(IS,MATCH($B6,IS!$A:$A,0),MATCH(Summary!P$3,IS!$3:$3,0)),0)</f>
        <v>13964.047829398136</v>
      </c>
      <c r="Q6" s="22">
        <f ca="1">IFERROR(INDEX(IS,MATCH($B6,IS!$A:$A,0),MATCH(Summary!Q$3,IS!$3:$3,0)),0)</f>
        <v>14935.887155271415</v>
      </c>
      <c r="R6" s="22">
        <f ca="1">IFERROR(INDEX(IS,MATCH($B6,IS!$A:$A,0),MATCH(Summary!R$3,IS!$3:$3,0)),0)</f>
        <v>15551.531029750833</v>
      </c>
      <c r="S6" s="22">
        <f ca="1">IFERROR(INDEX(IS,MATCH($B6,IS!$A:$A,0),MATCH(Summary!S$3,IS!$3:$3,0)),0)</f>
        <v>38752.915190119704</v>
      </c>
      <c r="T6" s="22">
        <f ca="1">IFERROR(INDEX(IS,MATCH($B6,IS!$A:$A,0),MATCH(Summary!T$3,IS!$3:$3,0)),0)</f>
        <v>55946.70955101843</v>
      </c>
      <c r="U6" s="22">
        <f ca="1">IFERROR(INDEX(IS,MATCH($B6,IS!$A:$A,0),MATCH(Summary!U$3,IS!$3:$3,0)),0)</f>
        <v>69202.505892189351</v>
      </c>
      <c r="V6" s="22">
        <f ca="1">IFERROR(INDEX(IS,MATCH($B6,IS!$A:$A,0),MATCH(Summary!V$3,IS!$3:$3,0)),0)</f>
        <v>78246.179989732889</v>
      </c>
      <c r="W6" s="22">
        <f ca="1">IFERROR(INDEX(IS,MATCH($B6,IS!$A:$A,0),MATCH(Summary!W$3,IS!$3:$3,0)),0)</f>
        <v>84639.219198602252</v>
      </c>
      <c r="X6" s="22">
        <f ca="1">IFERROR(INDEX(IS,MATCH($B6,IS!$A:$A,0),MATCH(Summary!X$3,IS!$3:$3,0)),0)</f>
        <v>89336.804200186889</v>
      </c>
      <c r="Y6" s="22">
        <f ca="1">IFERROR(INDEX(IS,MATCH($B6,IS!$A:$A,0),MATCH(Summary!Y$3,IS!$3:$3,0)),0)</f>
        <v>94635.954626735838</v>
      </c>
      <c r="Z6" s="22">
        <f ca="1">IFERROR(INDEX(IS,MATCH($B6,IS!$A:$A,0),MATCH(Summary!Z$3,IS!$3:$3,0)),0)</f>
        <v>100383.62965338885</v>
      </c>
      <c r="AA6" s="22">
        <f ca="1">IFERROR(INDEX(IS,MATCH($B6,IS!$A:$A,0),MATCH(Summary!AA$3,IS!$3:$3,0)),0)</f>
        <v>106479.57380897918</v>
      </c>
      <c r="AB6" s="22">
        <f ca="1">IFERROR(INDEX(IS,MATCH($B6,IS!$A:$A,0),MATCH(Summary!AB$3,IS!$3:$3,0)),0)</f>
        <v>111191.74045333744</v>
      </c>
      <c r="AC6" s="22">
        <f ca="1">IFERROR(INDEX(IS,MATCH($B6,IS!$A:$A,0),MATCH(Summary!AC$3,IS!$3:$3,0)),0)</f>
        <v>115120.99921295754</v>
      </c>
      <c r="AD6" s="22">
        <f ca="1">IFERROR(INDEX(IS,MATCH($B6,IS!$A:$A,0),MATCH(Summary!AD$3,IS!$3:$3,0)),0)</f>
        <v>118588.90011139435</v>
      </c>
      <c r="AE6" s="22">
        <f ca="1">IFERROR(INDEX(IS,MATCH($B6,IS!$A:$A,0),MATCH(Summary!AE$3,IS!$3:$3,0)),0)</f>
        <v>157405.58109662522</v>
      </c>
      <c r="AF6" s="22">
        <f ca="1">IFERROR(INDEX(IS,MATCH($B6,IS!$A:$A,0),MATCH(Summary!AF$3,IS!$3:$3,0)),0)</f>
        <v>186260.76431845484</v>
      </c>
      <c r="AG6" s="22">
        <f ca="1">IFERROR(INDEX(IS,MATCH($B6,IS!$A:$A,0),MATCH(Summary!AG$3,IS!$3:$3,0)),0)</f>
        <v>208011.90861485389</v>
      </c>
      <c r="AH6" s="22">
        <f ca="1">IFERROR(INDEX(IS,MATCH($B6,IS!$A:$A,0),MATCH(Summary!AH$3,IS!$3:$3,0)),0)</f>
        <v>224715.08575615651</v>
      </c>
      <c r="AI6" s="22">
        <f ca="1">IFERROR(INDEX(IS,MATCH($B6,IS!$A:$A,0),MATCH(Summary!AI$3,IS!$3:$3,0)),0)</f>
        <v>237851.86040726322</v>
      </c>
      <c r="AJ6" s="22">
        <f ca="1">IFERROR(INDEX(IS,MATCH($B6,IS!$A:$A,0),MATCH(Summary!AJ$3,IS!$3:$3,0)),0)</f>
        <v>248489.56483510413</v>
      </c>
      <c r="AK6" s="22">
        <f ca="1">IFERROR(INDEX(IS,MATCH($B6,IS!$A:$A,0),MATCH(Summary!AK$3,IS!$3:$3,0)),0)</f>
        <v>264596.99407055107</v>
      </c>
      <c r="AL6" s="22">
        <f ca="1">IFERROR(INDEX(IS,MATCH($B6,IS!$A:$A,0),MATCH(Summary!AL$3,IS!$3:$3,0)),0)</f>
        <v>277521.41410550714</v>
      </c>
      <c r="AM6" s="22">
        <f ca="1">IFERROR(INDEX(IS,MATCH($B6,IS!$A:$A,0),MATCH(Summary!AM$3,IS!$3:$3,0)),0)</f>
        <v>288230.05774571176</v>
      </c>
      <c r="AN6" s="22">
        <f ca="1">IFERROR(INDEX(IS,MATCH($B6,IS!$A:$A,0),MATCH(Summary!AN$3,IS!$3:$3,0)),0)</f>
        <v>306283.26184293884</v>
      </c>
      <c r="AO6" s="22">
        <f ca="1">IFERROR(INDEX(IS,MATCH($B6,IS!$A:$A,0),MATCH(Summary!AO$3,IS!$3:$3,0)),0)</f>
        <v>322513.402072987</v>
      </c>
      <c r="AP6" s="22">
        <f ca="1">IFERROR(INDEX(IS,MATCH($B6,IS!$A:$A,0),MATCH(Summary!AP$3,IS!$3:$3,0)),0)</f>
        <v>337522.46521610074</v>
      </c>
      <c r="AQ6" s="22">
        <f ca="1">IFERROR(INDEX(IS,MATCH($B6,IS!$A:$A,0),MATCH(Summary!AQ$3,IS!$3:$3,0)),0)</f>
        <v>450376.86566150386</v>
      </c>
      <c r="AR6" s="22">
        <f ca="1">IFERROR(INDEX(IS,MATCH($B6,IS!$A:$A,0),MATCH(Summary!AR$3,IS!$3:$3,0)),0)</f>
        <v>541839.02030089474</v>
      </c>
      <c r="AS6" s="22">
        <f ca="1">IFERROR(INDEX(IS,MATCH($B6,IS!$A:$A,0),MATCH(Summary!AS$3,IS!$3:$3,0)),0)</f>
        <v>616810.71890718653</v>
      </c>
      <c r="AT6" s="22">
        <f ca="1">IFERROR(INDEX(IS,MATCH($B6,IS!$A:$A,0),MATCH(Summary!AT$3,IS!$3:$3,0)),0)</f>
        <v>680786.39430537925</v>
      </c>
      <c r="AU6" s="22">
        <f ca="1">IFERROR(INDEX(IS,MATCH($B6,IS!$A:$A,0),MATCH(Summary!AU$3,IS!$3:$3,0)),0)</f>
        <v>736468.05630840315</v>
      </c>
      <c r="AV6" s="22">
        <f ca="1">IFERROR(INDEX(IS,MATCH($B6,IS!$A:$A,0),MATCH(Summary!AV$3,IS!$3:$3,0)),0)</f>
        <v>785893.90424878977</v>
      </c>
      <c r="AW6" s="22">
        <f ca="1">IFERROR(INDEX(IS,MATCH($B6,IS!$A:$A,0),MATCH(Summary!AW$3,IS!$3:$3,0)),0)</f>
        <v>830659.32103165076</v>
      </c>
      <c r="AX6" s="22">
        <f ca="1">IFERROR(INDEX(IS,MATCH($B6,IS!$A:$A,0),MATCH(Summary!AX$3,IS!$3:$3,0)),0)</f>
        <v>872154.56452414452</v>
      </c>
      <c r="AY6" s="22">
        <f ca="1">IFERROR(INDEX(IS,MATCH($B6,IS!$A:$A,0),MATCH(Summary!AY$3,IS!$3:$3,0)),0)</f>
        <v>911319.43409898086</v>
      </c>
      <c r="AZ6" s="22">
        <f ca="1">IFERROR(INDEX(IS,MATCH($B6,IS!$A:$A,0),MATCH(Summary!AZ$3,IS!$3:$3,0)),0)</f>
        <v>950559.42830527178</v>
      </c>
      <c r="BA6" s="22">
        <f ca="1">IFERROR(INDEX(IS,MATCH($B6,IS!$A:$A,0),MATCH(Summary!BA$3,IS!$3:$3,0)),0)</f>
        <v>990230.26003875746</v>
      </c>
      <c r="BB6" s="22">
        <f ca="1">IFERROR(INDEX(IS,MATCH($B6,IS!$A:$A,0),MATCH(Summary!BB$3,IS!$3:$3,0)),0)</f>
        <v>1030465.2115458256</v>
      </c>
      <c r="BC6" s="56"/>
      <c r="BD6" s="56"/>
      <c r="BE6" s="56"/>
      <c r="BF6" s="57"/>
      <c r="BG6" s="57"/>
      <c r="BH6" s="57"/>
    </row>
    <row r="7" spans="1:16382" ht="12.75" customHeight="1" x14ac:dyDescent="0.15">
      <c r="A7" s="47" t="s">
        <v>190</v>
      </c>
      <c r="B7" s="280" t="s">
        <v>190</v>
      </c>
      <c r="C7" s="316">
        <f>IFERROR(INDEX(IS,MATCH($B7,IS!$A:$A,0),MATCH(Summary!C$3,IS!$3:$3,0)),0)</f>
        <v>1233.3378398231528</v>
      </c>
      <c r="D7" s="22">
        <f>IFERROR(INDEX(IS,MATCH($B7,IS!$A:$A,0),MATCH(Summary!D$3,IS!$3:$3,0)),0)</f>
        <v>26051.231129804492</v>
      </c>
      <c r="E7" s="22">
        <f>IFERROR(INDEX(IS,MATCH($B7,IS!$A:$A,0),MATCH(Summary!E$3,IS!$3:$3,0)),0)</f>
        <v>110242.88794172461</v>
      </c>
      <c r="F7" s="22">
        <f>IFERROR(INDEX(IS,MATCH($B7,IS!$A:$A,0),MATCH(Summary!F$3,IS!$3:$3,0)),0)</f>
        <v>350434.80320569529</v>
      </c>
      <c r="G7" s="22">
        <f>IFERROR(INDEX(IS,MATCH($B7,IS!$A:$A,0),MATCH(Summary!G$3,IS!$3:$3,0)),0)</f>
        <v>4</v>
      </c>
      <c r="H7" s="57">
        <f>IFERROR(INDEX(IS,MATCH($B7,IS!$A:$A,0),MATCH(Summary!H$3,IS!$3:$3,0)),0)</f>
        <v>9.9650335561812131</v>
      </c>
      <c r="I7" s="57">
        <f>IFERROR(INDEX(IS,MATCH($B7,IS!$A:$A,0),MATCH(Summary!I$3,IS!$3:$3,0)),0)</f>
        <v>16.87792310968258</v>
      </c>
      <c r="J7" s="57">
        <f>IFERROR(INDEX(IS,MATCH($B7,IS!$A:$A,0),MATCH(Summary!J$3,IS!$3:$3,0)),0)</f>
        <v>25.563716205467784</v>
      </c>
      <c r="K7" s="57">
        <f>IFERROR(INDEX(IS,MATCH($B7,IS!$A:$A,0),MATCH(Summary!K$3,IS!$3:$3,0)),0)</f>
        <v>35.090248143843304</v>
      </c>
      <c r="L7" s="57">
        <f>IFERROR(INDEX(IS,MATCH($B7,IS!$A:$A,0),MATCH(Summary!L$3,IS!$3:$3,0)),0)</f>
        <v>44.991836179599396</v>
      </c>
      <c r="M7" s="57">
        <f>IFERROR(INDEX(IS,MATCH($B7,IS!$A:$A,0),MATCH(Summary!M$3,IS!$3:$3,0)),0)</f>
        <v>67.036035051579887</v>
      </c>
      <c r="N7" s="57">
        <f>IFERROR(INDEX(IS,MATCH($B7,IS!$A:$A,0),MATCH(Summary!N$3,IS!$3:$3,0)),0)</f>
        <v>101.66878211321355</v>
      </c>
      <c r="O7" s="57">
        <f>IFERROR(INDEX(IS,MATCH($B7,IS!$A:$A,0),MATCH(Summary!O$3,IS!$3:$3,0)),0)</f>
        <v>149.05607484040868</v>
      </c>
      <c r="P7" s="57">
        <f>IFERROR(INDEX(IS,MATCH($B7,IS!$A:$A,0),MATCH(Summary!P$3,IS!$3:$3,0)),0)</f>
        <v>202.55777212371967</v>
      </c>
      <c r="Q7" s="57">
        <f>IFERROR(INDEX(IS,MATCH($B7,IS!$A:$A,0),MATCH(Summary!Q$3,IS!$3:$3,0)),0)</f>
        <v>259.16229071062531</v>
      </c>
      <c r="R7" s="57">
        <f>IFERROR(INDEX(IS,MATCH($B7,IS!$A:$A,0),MATCH(Summary!R$3,IS!$3:$3,0)),0)</f>
        <v>317.36812778883126</v>
      </c>
      <c r="S7" s="57">
        <f>IFERROR(INDEX(IS,MATCH($B7,IS!$A:$A,0),MATCH(Summary!S$3,IS!$3:$3,0)),0)</f>
        <v>467.46426831928886</v>
      </c>
      <c r="T7" s="57">
        <f>IFERROR(INDEX(IS,MATCH($B7,IS!$A:$A,0),MATCH(Summary!T$3,IS!$3:$3,0)),0)</f>
        <v>684.21887876119058</v>
      </c>
      <c r="U7" s="57">
        <f>IFERROR(INDEX(IS,MATCH($B7,IS!$A:$A,0),MATCH(Summary!U$3,IS!$3:$3,0)),0)</f>
        <v>950.93131049828617</v>
      </c>
      <c r="V7" s="57">
        <f>IFERROR(INDEX(IS,MATCH($B7,IS!$A:$A,0),MATCH(Summary!V$3,IS!$3:$3,0)),0)</f>
        <v>1249.8653218463128</v>
      </c>
      <c r="W7" s="57">
        <f>IFERROR(INDEX(IS,MATCH($B7,IS!$A:$A,0),MATCH(Summary!W$3,IS!$3:$3,0)),0)</f>
        <v>1569.6328015805816</v>
      </c>
      <c r="X7" s="57">
        <f>IFERROR(INDEX(IS,MATCH($B7,IS!$A:$A,0),MATCH(Summary!X$3,IS!$3:$3,0)),0)</f>
        <v>1902.7312020398933</v>
      </c>
      <c r="Y7" s="57">
        <f>IFERROR(INDEX(IS,MATCH($B7,IS!$A:$A,0),MATCH(Summary!Y$3,IS!$3:$3,0)),0)</f>
        <v>2250.8891456243355</v>
      </c>
      <c r="Z7" s="57">
        <f>IFERROR(INDEX(IS,MATCH($B7,IS!$A:$A,0),MATCH(Summary!Z$3,IS!$3:$3,0)),0)</f>
        <v>2615.2029163714869</v>
      </c>
      <c r="AA7" s="57">
        <f>IFERROR(INDEX(IS,MATCH($B7,IS!$A:$A,0),MATCH(Summary!AA$3,IS!$3:$3,0)),0)</f>
        <v>2996.3519999530472</v>
      </c>
      <c r="AB7" s="57">
        <f>IFERROR(INDEX(IS,MATCH($B7,IS!$A:$A,0),MATCH(Summary!AB$3,IS!$3:$3,0)),0)</f>
        <v>3388.0746710154222</v>
      </c>
      <c r="AC7" s="57">
        <f>IFERROR(INDEX(IS,MATCH($B7,IS!$A:$A,0),MATCH(Summary!AC$3,IS!$3:$3,0)),0)</f>
        <v>3786.5596786409174</v>
      </c>
      <c r="AD7" s="57">
        <f>IFERROR(INDEX(IS,MATCH($B7,IS!$A:$A,0),MATCH(Summary!AD$3,IS!$3:$3,0)),0)</f>
        <v>4189.3089351537283</v>
      </c>
      <c r="AE7" s="57">
        <f>IFERROR(INDEX(IS,MATCH($B7,IS!$A:$A,0),MATCH(Summary!AE$3,IS!$3:$3,0)),0)</f>
        <v>4737.0821188375039</v>
      </c>
      <c r="AF7" s="57">
        <f>IFERROR(INDEX(IS,MATCH($B7,IS!$A:$A,0),MATCH(Summary!AF$3,IS!$3:$3,0)),0)</f>
        <v>5388.075084354934</v>
      </c>
      <c r="AG7" s="57">
        <f>IFERROR(INDEX(IS,MATCH($B7,IS!$A:$A,0),MATCH(Summary!AG$3,IS!$3:$3,0)),0)</f>
        <v>6112.2154827955646</v>
      </c>
      <c r="AH7" s="57">
        <f>IFERROR(INDEX(IS,MATCH($B7,IS!$A:$A,0),MATCH(Summary!AH$3,IS!$3:$3,0)),0)</f>
        <v>6887.8778733625304</v>
      </c>
      <c r="AI7" s="57">
        <f>IFERROR(INDEX(IS,MATCH($B7,IS!$A:$A,0),MATCH(Summary!AI$3,IS!$3:$3,0)),0)</f>
        <v>7699.5186074481244</v>
      </c>
      <c r="AJ7" s="57">
        <f>IFERROR(INDEX(IS,MATCH($B7,IS!$A:$A,0),MATCH(Summary!AJ$3,IS!$3:$3,0)),0)</f>
        <v>8535.972948855313</v>
      </c>
      <c r="AK7" s="57">
        <f>IFERROR(INDEX(IS,MATCH($B7,IS!$A:$A,0),MATCH(Summary!AK$3,IS!$3:$3,0)),0)</f>
        <v>9418.0290040710079</v>
      </c>
      <c r="AL7" s="57">
        <f>IFERROR(INDEX(IS,MATCH($B7,IS!$A:$A,0),MATCH(Summary!AL$3,IS!$3:$3,0)),0)</f>
        <v>10331.629197408462</v>
      </c>
      <c r="AM7" s="57">
        <f>IFERROR(INDEX(IS,MATCH($B7,IS!$A:$A,0),MATCH(Summary!AM$3,IS!$3:$3,0)),0)</f>
        <v>11266.681054443865</v>
      </c>
      <c r="AN7" s="57">
        <f>IFERROR(INDEX(IS,MATCH($B7,IS!$A:$A,0),MATCH(Summary!AN$3,IS!$3:$3,0)),0)</f>
        <v>12251.413658147456</v>
      </c>
      <c r="AO7" s="57">
        <f>IFERROR(INDEX(IS,MATCH($B7,IS!$A:$A,0),MATCH(Summary!AO$3,IS!$3:$3,0)),0)</f>
        <v>13277.070932158158</v>
      </c>
      <c r="AP7" s="57">
        <f>IFERROR(INDEX(IS,MATCH($B7,IS!$A:$A,0),MATCH(Summary!AP$3,IS!$3:$3,0)),0)</f>
        <v>14337.321979841699</v>
      </c>
      <c r="AQ7" s="57">
        <f>IFERROR(INDEX(IS,MATCH($B7,IS!$A:$A,0),MATCH(Summary!AQ$3,IS!$3:$3,0)),0)</f>
        <v>15822.104248931109</v>
      </c>
      <c r="AR7" s="57">
        <f>IFERROR(INDEX(IS,MATCH($B7,IS!$A:$A,0),MATCH(Summary!AR$3,IS!$3:$3,0)),0)</f>
        <v>17640.510917542309</v>
      </c>
      <c r="AS7" s="57">
        <f>IFERROR(INDEX(IS,MATCH($B7,IS!$A:$A,0),MATCH(Summary!AS$3,IS!$3:$3,0)),0)</f>
        <v>19721.636986936075</v>
      </c>
      <c r="AT7" s="57">
        <f>IFERROR(INDEX(IS,MATCH($B7,IS!$A:$A,0),MATCH(Summary!AT$3,IS!$3:$3,0)),0)</f>
        <v>22016.845895587161</v>
      </c>
      <c r="AU7" s="57">
        <f>IFERROR(INDEX(IS,MATCH($B7,IS!$A:$A,0),MATCH(Summary!AU$3,IS!$3:$3,0)),0)</f>
        <v>24488.452059428128</v>
      </c>
      <c r="AV7" s="57">
        <f>IFERROR(INDEX(IS,MATCH($B7,IS!$A:$A,0),MATCH(Summary!AV$3,IS!$3:$3,0)),0)</f>
        <v>27107.008341603429</v>
      </c>
      <c r="AW7" s="57">
        <f>IFERROR(INDEX(IS,MATCH($B7,IS!$A:$A,0),MATCH(Summary!AW$3,IS!$3:$3,0)),0)</f>
        <v>29849.494509738233</v>
      </c>
      <c r="AX7" s="57">
        <f>IFERROR(INDEX(IS,MATCH($B7,IS!$A:$A,0),MATCH(Summary!AX$3,IS!$3:$3,0)),0)</f>
        <v>32698.516610431863</v>
      </c>
      <c r="AY7" s="57">
        <f>IFERROR(INDEX(IS,MATCH($B7,IS!$A:$A,0),MATCH(Summary!AY$3,IS!$3:$3,0)),0)</f>
        <v>35640.461744860528</v>
      </c>
      <c r="AZ7" s="57">
        <f>IFERROR(INDEX(IS,MATCH($B7,IS!$A:$A,0),MATCH(Summary!AZ$3,IS!$3:$3,0)),0)</f>
        <v>38671.333924822706</v>
      </c>
      <c r="BA7" s="57">
        <f>IFERROR(INDEX(IS,MATCH($B7,IS!$A:$A,0),MATCH(Summary!BA$3,IS!$3:$3,0)),0)</f>
        <v>41788.52680913853</v>
      </c>
      <c r="BB7" s="57">
        <f>IFERROR(INDEX(IS,MATCH($B7,IS!$A:$A,0),MATCH(Summary!BB$3,IS!$3:$3,0)),0)</f>
        <v>44989.911156675211</v>
      </c>
      <c r="BC7" s="56"/>
      <c r="BD7" s="56"/>
      <c r="BE7" s="56"/>
      <c r="BF7" s="57"/>
      <c r="BG7" s="57"/>
      <c r="BH7" s="57"/>
    </row>
    <row r="8" spans="1:16382" ht="12.75" customHeight="1" x14ac:dyDescent="0.15">
      <c r="A8" s="47" t="s">
        <v>53</v>
      </c>
      <c r="B8" s="280" t="s">
        <v>53</v>
      </c>
      <c r="C8" s="316">
        <f>IFERROR(INDEX(IS,MATCH($B8,IS!$A:$A,0),MATCH(Summary!C$3,IS!$3:$3,0)),0)</f>
        <v>0</v>
      </c>
      <c r="D8" s="22">
        <f>IFERROR(INDEX(IS,MATCH($B8,IS!$A:$A,0),MATCH(Summary!D$3,IS!$3:$3,0)),0)</f>
        <v>0</v>
      </c>
      <c r="E8" s="22">
        <f>IFERROR(INDEX(IS,MATCH($B8,IS!$A:$A,0),MATCH(Summary!E$3,IS!$3:$3,0)),0)</f>
        <v>0</v>
      </c>
      <c r="F8" s="22">
        <f>IFERROR(INDEX(IS,MATCH($B8,IS!$A:$A,0),MATCH(Summary!F$3,IS!$3:$3,0)),0)</f>
        <v>0</v>
      </c>
      <c r="G8" s="22">
        <f>IFERROR(INDEX(IS,MATCH($B8,IS!$A:$A,0),MATCH(Summary!G$3,IS!$3:$3,0)),0)</f>
        <v>0</v>
      </c>
      <c r="H8" s="57">
        <f>IFERROR(INDEX(IS,MATCH($B8,IS!$A:$A,0),MATCH(Summary!H$3,IS!$3:$3,0)),0)</f>
        <v>0</v>
      </c>
      <c r="I8" s="57">
        <f>IFERROR(INDEX(IS,MATCH($B8,IS!$A:$A,0),MATCH(Summary!I$3,IS!$3:$3,0)),0)</f>
        <v>0</v>
      </c>
      <c r="J8" s="57">
        <f>IFERROR(INDEX(IS,MATCH($B8,IS!$A:$A,0),MATCH(Summary!J$3,IS!$3:$3,0)),0)</f>
        <v>0</v>
      </c>
      <c r="K8" s="57">
        <f>IFERROR(INDEX(IS,MATCH($B8,IS!$A:$A,0),MATCH(Summary!K$3,IS!$3:$3,0)),0)</f>
        <v>0</v>
      </c>
      <c r="L8" s="57">
        <f>IFERROR(INDEX(IS,MATCH($B8,IS!$A:$A,0),MATCH(Summary!L$3,IS!$3:$3,0)),0)</f>
        <v>0</v>
      </c>
      <c r="M8" s="57">
        <f>IFERROR(INDEX(IS,MATCH($B8,IS!$A:$A,0),MATCH(Summary!M$3,IS!$3:$3,0)),0)</f>
        <v>0</v>
      </c>
      <c r="N8" s="57">
        <f>IFERROR(INDEX(IS,MATCH($B8,IS!$A:$A,0),MATCH(Summary!N$3,IS!$3:$3,0)),0)</f>
        <v>0</v>
      </c>
      <c r="O8" s="57">
        <f>IFERROR(INDEX(IS,MATCH($B8,IS!$A:$A,0),MATCH(Summary!O$3,IS!$3:$3,0)),0)</f>
        <v>0</v>
      </c>
      <c r="P8" s="57">
        <f>IFERROR(INDEX(IS,MATCH($B8,IS!$A:$A,0),MATCH(Summary!P$3,IS!$3:$3,0)),0)</f>
        <v>0</v>
      </c>
      <c r="Q8" s="57">
        <f>IFERROR(INDEX(IS,MATCH($B8,IS!$A:$A,0),MATCH(Summary!Q$3,IS!$3:$3,0)),0)</f>
        <v>0</v>
      </c>
      <c r="R8" s="57">
        <f>IFERROR(INDEX(IS,MATCH($B8,IS!$A:$A,0),MATCH(Summary!R$3,IS!$3:$3,0)),0)</f>
        <v>0</v>
      </c>
      <c r="S8" s="57">
        <f>IFERROR(INDEX(IS,MATCH($B8,IS!$A:$A,0),MATCH(Summary!S$3,IS!$3:$3,0)),0)</f>
        <v>0</v>
      </c>
      <c r="T8" s="57">
        <f>IFERROR(INDEX(IS,MATCH($B8,IS!$A:$A,0),MATCH(Summary!T$3,IS!$3:$3,0)),0)</f>
        <v>0</v>
      </c>
      <c r="U8" s="57">
        <f>IFERROR(INDEX(IS,MATCH($B8,IS!$A:$A,0),MATCH(Summary!U$3,IS!$3:$3,0)),0)</f>
        <v>0</v>
      </c>
      <c r="V8" s="57">
        <f>IFERROR(INDEX(IS,MATCH($B8,IS!$A:$A,0),MATCH(Summary!V$3,IS!$3:$3,0)),0)</f>
        <v>0</v>
      </c>
      <c r="W8" s="57">
        <f>IFERROR(INDEX(IS,MATCH($B8,IS!$A:$A,0),MATCH(Summary!W$3,IS!$3:$3,0)),0)</f>
        <v>0</v>
      </c>
      <c r="X8" s="57">
        <f>IFERROR(INDEX(IS,MATCH($B8,IS!$A:$A,0),MATCH(Summary!X$3,IS!$3:$3,0)),0)</f>
        <v>0</v>
      </c>
      <c r="Y8" s="57">
        <f>IFERROR(INDEX(IS,MATCH($B8,IS!$A:$A,0),MATCH(Summary!Y$3,IS!$3:$3,0)),0)</f>
        <v>0</v>
      </c>
      <c r="Z8" s="57">
        <f>IFERROR(INDEX(IS,MATCH($B8,IS!$A:$A,0),MATCH(Summary!Z$3,IS!$3:$3,0)),0)</f>
        <v>0</v>
      </c>
      <c r="AA8" s="57">
        <f>IFERROR(INDEX(IS,MATCH($B8,IS!$A:$A,0),MATCH(Summary!AA$3,IS!$3:$3,0)),0)</f>
        <v>0</v>
      </c>
      <c r="AB8" s="57">
        <f>IFERROR(INDEX(IS,MATCH($B8,IS!$A:$A,0),MATCH(Summary!AB$3,IS!$3:$3,0)),0)</f>
        <v>0</v>
      </c>
      <c r="AC8" s="57">
        <f>IFERROR(INDEX(IS,MATCH($B8,IS!$A:$A,0),MATCH(Summary!AC$3,IS!$3:$3,0)),0)</f>
        <v>0</v>
      </c>
      <c r="AD8" s="57">
        <f>IFERROR(INDEX(IS,MATCH($B8,IS!$A:$A,0),MATCH(Summary!AD$3,IS!$3:$3,0)),0)</f>
        <v>0</v>
      </c>
      <c r="AE8" s="57">
        <f>IFERROR(INDEX(IS,MATCH($B8,IS!$A:$A,0),MATCH(Summary!AE$3,IS!$3:$3,0)),0)</f>
        <v>0</v>
      </c>
      <c r="AF8" s="57">
        <f>IFERROR(INDEX(IS,MATCH($B8,IS!$A:$A,0),MATCH(Summary!AF$3,IS!$3:$3,0)),0)</f>
        <v>0</v>
      </c>
      <c r="AG8" s="57">
        <f>IFERROR(INDEX(IS,MATCH($B8,IS!$A:$A,0),MATCH(Summary!AG$3,IS!$3:$3,0)),0)</f>
        <v>0</v>
      </c>
      <c r="AH8" s="57">
        <f>IFERROR(INDEX(IS,MATCH($B8,IS!$A:$A,0),MATCH(Summary!AH$3,IS!$3:$3,0)),0)</f>
        <v>0</v>
      </c>
      <c r="AI8" s="57">
        <f>IFERROR(INDEX(IS,MATCH($B8,IS!$A:$A,0),MATCH(Summary!AI$3,IS!$3:$3,0)),0)</f>
        <v>0</v>
      </c>
      <c r="AJ8" s="57">
        <f>IFERROR(INDEX(IS,MATCH($B8,IS!$A:$A,0),MATCH(Summary!AJ$3,IS!$3:$3,0)),0)</f>
        <v>0</v>
      </c>
      <c r="AK8" s="57">
        <f>IFERROR(INDEX(IS,MATCH($B8,IS!$A:$A,0),MATCH(Summary!AK$3,IS!$3:$3,0)),0)</f>
        <v>0</v>
      </c>
      <c r="AL8" s="57">
        <f>IFERROR(INDEX(IS,MATCH($B8,IS!$A:$A,0),MATCH(Summary!AL$3,IS!$3:$3,0)),0)</f>
        <v>0</v>
      </c>
      <c r="AM8" s="57">
        <f>IFERROR(INDEX(IS,MATCH($B8,IS!$A:$A,0),MATCH(Summary!AM$3,IS!$3:$3,0)),0)</f>
        <v>0</v>
      </c>
      <c r="AN8" s="57">
        <f>IFERROR(INDEX(IS,MATCH($B8,IS!$A:$A,0),MATCH(Summary!AN$3,IS!$3:$3,0)),0)</f>
        <v>0</v>
      </c>
      <c r="AO8" s="57">
        <f>IFERROR(INDEX(IS,MATCH($B8,IS!$A:$A,0),MATCH(Summary!AO$3,IS!$3:$3,0)),0)</f>
        <v>0</v>
      </c>
      <c r="AP8" s="57">
        <f>IFERROR(INDEX(IS,MATCH($B8,IS!$A:$A,0),MATCH(Summary!AP$3,IS!$3:$3,0)),0)</f>
        <v>0</v>
      </c>
      <c r="AQ8" s="57">
        <f>IFERROR(INDEX(IS,MATCH($B8,IS!$A:$A,0),MATCH(Summary!AQ$3,IS!$3:$3,0)),0)</f>
        <v>0</v>
      </c>
      <c r="AR8" s="57">
        <f>IFERROR(INDEX(IS,MATCH($B8,IS!$A:$A,0),MATCH(Summary!AR$3,IS!$3:$3,0)),0)</f>
        <v>0</v>
      </c>
      <c r="AS8" s="57">
        <f>IFERROR(INDEX(IS,MATCH($B8,IS!$A:$A,0),MATCH(Summary!AS$3,IS!$3:$3,0)),0)</f>
        <v>0</v>
      </c>
      <c r="AT8" s="57">
        <f>IFERROR(INDEX(IS,MATCH($B8,IS!$A:$A,0),MATCH(Summary!AT$3,IS!$3:$3,0)),0)</f>
        <v>0</v>
      </c>
      <c r="AU8" s="57">
        <f>IFERROR(INDEX(IS,MATCH($B8,IS!$A:$A,0),MATCH(Summary!AU$3,IS!$3:$3,0)),0)</f>
        <v>0</v>
      </c>
      <c r="AV8" s="57">
        <f>IFERROR(INDEX(IS,MATCH($B8,IS!$A:$A,0),MATCH(Summary!AV$3,IS!$3:$3,0)),0)</f>
        <v>0</v>
      </c>
      <c r="AW8" s="57">
        <f>IFERROR(INDEX(IS,MATCH($B8,IS!$A:$A,0),MATCH(Summary!AW$3,IS!$3:$3,0)),0)</f>
        <v>0</v>
      </c>
      <c r="AX8" s="57">
        <f>IFERROR(INDEX(IS,MATCH($B8,IS!$A:$A,0),MATCH(Summary!AX$3,IS!$3:$3,0)),0)</f>
        <v>0</v>
      </c>
      <c r="AY8" s="57">
        <f>IFERROR(INDEX(IS,MATCH($B8,IS!$A:$A,0),MATCH(Summary!AY$3,IS!$3:$3,0)),0)</f>
        <v>0</v>
      </c>
      <c r="AZ8" s="57">
        <f>IFERROR(INDEX(IS,MATCH($B8,IS!$A:$A,0),MATCH(Summary!AZ$3,IS!$3:$3,0)),0)</f>
        <v>0</v>
      </c>
      <c r="BA8" s="57">
        <f>IFERROR(INDEX(IS,MATCH($B8,IS!$A:$A,0),MATCH(Summary!BA$3,IS!$3:$3,0)),0)</f>
        <v>0</v>
      </c>
      <c r="BB8" s="57">
        <f>IFERROR(INDEX(IS,MATCH($B8,IS!$A:$A,0),MATCH(Summary!BB$3,IS!$3:$3,0)),0)</f>
        <v>0</v>
      </c>
      <c r="BC8" s="57"/>
      <c r="BD8" s="57"/>
      <c r="BE8" s="57"/>
      <c r="BF8" s="57"/>
      <c r="BG8" s="57"/>
      <c r="BH8" s="57"/>
    </row>
    <row r="9" spans="1:16382" s="209" customFormat="1" ht="12.75" customHeight="1" x14ac:dyDescent="0.15">
      <c r="A9" s="330" t="s">
        <v>21</v>
      </c>
      <c r="B9" s="208" t="s">
        <v>21</v>
      </c>
      <c r="C9" s="327">
        <f ca="1">IFERROR(INDEX(IS,MATCH($B9,IS!$A:$A,0),MATCH(Summary!C$3,IS!$3:$3,0)),0)</f>
        <v>84363.902021270784</v>
      </c>
      <c r="D9" s="328">
        <f ca="1">IFERROR(INDEX(IS,MATCH($B9,IS!$A:$A,0),MATCH(Summary!D$3,IS!$3:$3,0)),0)</f>
        <v>1088576.3630184471</v>
      </c>
      <c r="E9" s="328">
        <f ca="1">IFERROR(INDEX(IS,MATCH($B9,IS!$A:$A,0),MATCH(Summary!E$3,IS!$3:$3,0)),0)</f>
        <v>3169645.2480239789</v>
      </c>
      <c r="F9" s="328">
        <f ca="1">IFERROR(INDEX(IS,MATCH($B9,IS!$A:$A,0),MATCH(Summary!F$3,IS!$3:$3,0)),0)</f>
        <v>9747997.9824824855</v>
      </c>
      <c r="G9" s="328">
        <f ca="1">IFERROR(INDEX(IS,MATCH($B9,IS!$A:$A,0),MATCH(Summary!G$3,IS!$3:$3,0)),0)</f>
        <v>1004</v>
      </c>
      <c r="H9" s="329">
        <f ca="1">IFERROR(INDEX(IS,MATCH($B9,IS!$A:$A,0),MATCH(Summary!H$3,IS!$3:$3,0)),0)</f>
        <v>1530.7983668895142</v>
      </c>
      <c r="I9" s="329">
        <f ca="1">IFERROR(INDEX(IS,MATCH($B9,IS!$A:$A,0),MATCH(Summary!I$3,IS!$3:$3,0)),0)</f>
        <v>1803.2451979955711</v>
      </c>
      <c r="J9" s="329">
        <f ca="1">IFERROR(INDEX(IS,MATCH($B9,IS!$A:$A,0),MATCH(Summary!J$3,IS!$3:$3,0)),0)</f>
        <v>2287.4438493059261</v>
      </c>
      <c r="K9" s="329">
        <f ca="1">IFERROR(INDEX(IS,MATCH($B9,IS!$A:$A,0),MATCH(Summary!K$3,IS!$3:$3,0)),0)</f>
        <v>2546.03643677839</v>
      </c>
      <c r="L9" s="329">
        <f ca="1">IFERROR(INDEX(IS,MATCH($B9,IS!$A:$A,0),MATCH(Summary!L$3,IS!$3:$3,0)),0)</f>
        <v>2692.3844622370734</v>
      </c>
      <c r="M9" s="329">
        <f ca="1">IFERROR(INDEX(IS,MATCH($B9,IS!$A:$A,0),MATCH(Summary!M$3,IS!$3:$3,0)),0)</f>
        <v>5794.8908590053779</v>
      </c>
      <c r="N9" s="329">
        <f ca="1">IFERROR(INDEX(IS,MATCH($B9,IS!$A:$A,0),MATCH(Summary!N$3,IS!$3:$3,0)),0)</f>
        <v>9057.7884192012734</v>
      </c>
      <c r="O9" s="329">
        <f ca="1">IFERROR(INDEX(IS,MATCH($B9,IS!$A:$A,0),MATCH(Summary!O$3,IS!$3:$3,0)),0)</f>
        <v>12416.760224814088</v>
      </c>
      <c r="P9" s="329">
        <f ca="1">IFERROR(INDEX(IS,MATCH($B9,IS!$A:$A,0),MATCH(Summary!P$3,IS!$3:$3,0)),0)</f>
        <v>14166.605601521856</v>
      </c>
      <c r="Q9" s="329">
        <f ca="1">IFERROR(INDEX(IS,MATCH($B9,IS!$A:$A,0),MATCH(Summary!Q$3,IS!$3:$3,0)),0)</f>
        <v>15195.04944598204</v>
      </c>
      <c r="R9" s="329">
        <f ca="1">IFERROR(INDEX(IS,MATCH($B9,IS!$A:$A,0),MATCH(Summary!R$3,IS!$3:$3,0)),0)</f>
        <v>15868.899157539665</v>
      </c>
      <c r="S9" s="329">
        <f ca="1">IFERROR(INDEX(IS,MATCH($B9,IS!$A:$A,0),MATCH(Summary!S$3,IS!$3:$3,0)),0)</f>
        <v>39220.379458438991</v>
      </c>
      <c r="T9" s="329">
        <f ca="1">IFERROR(INDEX(IS,MATCH($B9,IS!$A:$A,0),MATCH(Summary!T$3,IS!$3:$3,0)),0)</f>
        <v>56630.928429779618</v>
      </c>
      <c r="U9" s="329">
        <f ca="1">IFERROR(INDEX(IS,MATCH($B9,IS!$A:$A,0),MATCH(Summary!U$3,IS!$3:$3,0)),0)</f>
        <v>70153.437202687637</v>
      </c>
      <c r="V9" s="329">
        <f ca="1">IFERROR(INDEX(IS,MATCH($B9,IS!$A:$A,0),MATCH(Summary!V$3,IS!$3:$3,0)),0)</f>
        <v>79496.045311579204</v>
      </c>
      <c r="W9" s="329">
        <f ca="1">IFERROR(INDEX(IS,MATCH($B9,IS!$A:$A,0),MATCH(Summary!W$3,IS!$3:$3,0)),0)</f>
        <v>86208.852000182829</v>
      </c>
      <c r="X9" s="329">
        <f ca="1">IFERROR(INDEX(IS,MATCH($B9,IS!$A:$A,0),MATCH(Summary!X$3,IS!$3:$3,0)),0)</f>
        <v>91239.535402226786</v>
      </c>
      <c r="Y9" s="329">
        <f ca="1">IFERROR(INDEX(IS,MATCH($B9,IS!$A:$A,0),MATCH(Summary!Y$3,IS!$3:$3,0)),0)</f>
        <v>96886.843772360167</v>
      </c>
      <c r="Z9" s="329">
        <f ca="1">IFERROR(INDEX(IS,MATCH($B9,IS!$A:$A,0),MATCH(Summary!Z$3,IS!$3:$3,0)),0)</f>
        <v>102998.83256976034</v>
      </c>
      <c r="AA9" s="329">
        <f ca="1">IFERROR(INDEX(IS,MATCH($B9,IS!$A:$A,0),MATCH(Summary!AA$3,IS!$3:$3,0)),0)</f>
        <v>109475.92580893222</v>
      </c>
      <c r="AB9" s="329">
        <f ca="1">IFERROR(INDEX(IS,MATCH($B9,IS!$A:$A,0),MATCH(Summary!AB$3,IS!$3:$3,0)),0)</f>
        <v>114579.81512435286</v>
      </c>
      <c r="AC9" s="329">
        <f ca="1">IFERROR(INDEX(IS,MATCH($B9,IS!$A:$A,0),MATCH(Summary!AC$3,IS!$3:$3,0)),0)</f>
        <v>118907.55889159846</v>
      </c>
      <c r="AD9" s="329">
        <f ca="1">IFERROR(INDEX(IS,MATCH($B9,IS!$A:$A,0),MATCH(Summary!AD$3,IS!$3:$3,0)),0)</f>
        <v>122778.20904654809</v>
      </c>
      <c r="AE9" s="329">
        <f ca="1">IFERROR(INDEX(IS,MATCH($B9,IS!$A:$A,0),MATCH(Summary!AE$3,IS!$3:$3,0)),0)</f>
        <v>162142.66321546273</v>
      </c>
      <c r="AF9" s="329">
        <f ca="1">IFERROR(INDEX(IS,MATCH($B9,IS!$A:$A,0),MATCH(Summary!AF$3,IS!$3:$3,0)),0)</f>
        <v>191648.83940280977</v>
      </c>
      <c r="AG9" s="329">
        <f ca="1">IFERROR(INDEX(IS,MATCH($B9,IS!$A:$A,0),MATCH(Summary!AG$3,IS!$3:$3,0)),0)</f>
        <v>214124.12409764944</v>
      </c>
      <c r="AH9" s="329">
        <f ca="1">IFERROR(INDEX(IS,MATCH($B9,IS!$A:$A,0),MATCH(Summary!AH$3,IS!$3:$3,0)),0)</f>
        <v>231602.96362951904</v>
      </c>
      <c r="AI9" s="329">
        <f ca="1">IFERROR(INDEX(IS,MATCH($B9,IS!$A:$A,0),MATCH(Summary!AI$3,IS!$3:$3,0)),0)</f>
        <v>245551.37901471133</v>
      </c>
      <c r="AJ9" s="329">
        <f ca="1">IFERROR(INDEX(IS,MATCH($B9,IS!$A:$A,0),MATCH(Summary!AJ$3,IS!$3:$3,0)),0)</f>
        <v>257025.53778395944</v>
      </c>
      <c r="AK9" s="329">
        <f ca="1">IFERROR(INDEX(IS,MATCH($B9,IS!$A:$A,0),MATCH(Summary!AK$3,IS!$3:$3,0)),0)</f>
        <v>274015.02307462209</v>
      </c>
      <c r="AL9" s="329">
        <f ca="1">IFERROR(INDEX(IS,MATCH($B9,IS!$A:$A,0),MATCH(Summary!AL$3,IS!$3:$3,0)),0)</f>
        <v>287853.04330291558</v>
      </c>
      <c r="AM9" s="329">
        <f ca="1">IFERROR(INDEX(IS,MATCH($B9,IS!$A:$A,0),MATCH(Summary!AM$3,IS!$3:$3,0)),0)</f>
        <v>299496.73880015564</v>
      </c>
      <c r="AN9" s="329">
        <f ca="1">IFERROR(INDEX(IS,MATCH($B9,IS!$A:$A,0),MATCH(Summary!AN$3,IS!$3:$3,0)),0)</f>
        <v>318534.67550108628</v>
      </c>
      <c r="AO9" s="329">
        <f ca="1">IFERROR(INDEX(IS,MATCH($B9,IS!$A:$A,0),MATCH(Summary!AO$3,IS!$3:$3,0)),0)</f>
        <v>335790.47300514515</v>
      </c>
      <c r="AP9" s="329">
        <f ca="1">IFERROR(INDEX(IS,MATCH($B9,IS!$A:$A,0),MATCH(Summary!AP$3,IS!$3:$3,0)),0)</f>
        <v>351859.78719594242</v>
      </c>
      <c r="AQ9" s="329">
        <f ca="1">IFERROR(INDEX(IS,MATCH($B9,IS!$A:$A,0),MATCH(Summary!AQ$3,IS!$3:$3,0)),0)</f>
        <v>466198.96991043497</v>
      </c>
      <c r="AR9" s="329">
        <f ca="1">IFERROR(INDEX(IS,MATCH($B9,IS!$A:$A,0),MATCH(Summary!AR$3,IS!$3:$3,0)),0)</f>
        <v>559479.53121843701</v>
      </c>
      <c r="AS9" s="329">
        <f ca="1">IFERROR(INDEX(IS,MATCH($B9,IS!$A:$A,0),MATCH(Summary!AS$3,IS!$3:$3,0)),0)</f>
        <v>636532.35589412262</v>
      </c>
      <c r="AT9" s="329">
        <f ca="1">IFERROR(INDEX(IS,MATCH($B9,IS!$A:$A,0),MATCH(Summary!AT$3,IS!$3:$3,0)),0)</f>
        <v>702803.24020096636</v>
      </c>
      <c r="AU9" s="329">
        <f ca="1">IFERROR(INDEX(IS,MATCH($B9,IS!$A:$A,0),MATCH(Summary!AU$3,IS!$3:$3,0)),0)</f>
        <v>760956.50836783124</v>
      </c>
      <c r="AV9" s="329">
        <f ca="1">IFERROR(INDEX(IS,MATCH($B9,IS!$A:$A,0),MATCH(Summary!AV$3,IS!$3:$3,0)),0)</f>
        <v>813000.91259039321</v>
      </c>
      <c r="AW9" s="329">
        <f ca="1">IFERROR(INDEX(IS,MATCH($B9,IS!$A:$A,0),MATCH(Summary!AW$3,IS!$3:$3,0)),0)</f>
        <v>860508.81554138905</v>
      </c>
      <c r="AX9" s="329">
        <f ca="1">IFERROR(INDEX(IS,MATCH($B9,IS!$A:$A,0),MATCH(Summary!AX$3,IS!$3:$3,0)),0)</f>
        <v>904853.08113457635</v>
      </c>
      <c r="AY9" s="329">
        <f ca="1">IFERROR(INDEX(IS,MATCH($B9,IS!$A:$A,0),MATCH(Summary!AY$3,IS!$3:$3,0)),0)</f>
        <v>946959.89584384137</v>
      </c>
      <c r="AZ9" s="329">
        <f ca="1">IFERROR(INDEX(IS,MATCH($B9,IS!$A:$A,0),MATCH(Summary!AZ$3,IS!$3:$3,0)),0)</f>
        <v>989230.76223009452</v>
      </c>
      <c r="BA9" s="329">
        <f ca="1">IFERROR(INDEX(IS,MATCH($B9,IS!$A:$A,0),MATCH(Summary!BA$3,IS!$3:$3,0)),0)</f>
        <v>1032018.7868478959</v>
      </c>
      <c r="BB9" s="329">
        <f ca="1">IFERROR(INDEX(IS,MATCH($B9,IS!$A:$A,0),MATCH(Summary!BB$3,IS!$3:$3,0)),0)</f>
        <v>1075455.1227025008</v>
      </c>
      <c r="BC9" s="329"/>
      <c r="BD9" s="329"/>
      <c r="BE9" s="329"/>
      <c r="BF9" s="329"/>
      <c r="BG9" s="329"/>
      <c r="BH9" s="329"/>
    </row>
    <row r="10" spans="1:16382" s="67" customFormat="1" ht="12.75" customHeight="1" x14ac:dyDescent="0.15">
      <c r="A10" s="59"/>
      <c r="B10" s="59"/>
      <c r="C10" s="304"/>
      <c r="D10" s="60"/>
      <c r="E10" s="60"/>
      <c r="F10" s="60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6"/>
      <c r="BG10" s="66"/>
      <c r="BH10" s="66"/>
    </row>
    <row r="11" spans="1:16382" s="67" customFormat="1" ht="12.75" customHeight="1" x14ac:dyDescent="0.15">
      <c r="A11" s="313" t="s">
        <v>178</v>
      </c>
      <c r="B11" s="313" t="s">
        <v>59</v>
      </c>
      <c r="C11" s="318">
        <f ca="1">IFERROR(INDEX(IS,MATCH($B11,IS!$A:$A,0),MATCH(Summary!C$3,IS!$3:$3,0)),0)</f>
        <v>50530.917060638123</v>
      </c>
      <c r="D11" s="60">
        <f ca="1">IFERROR(INDEX(IS,MATCH($B11,IS!$A:$A,0),MATCH(Summary!D$3,IS!$3:$3,0)),0)</f>
        <v>151353.31040395543</v>
      </c>
      <c r="E11" s="60">
        <f ca="1">IFERROR(INDEX(IS,MATCH($B11,IS!$A:$A,0),MATCH(Summary!E$3,IS!$3:$3,0)),0)</f>
        <v>407482.29004359822</v>
      </c>
      <c r="F11" s="60">
        <f ca="1">IFERROR(INDEX(IS,MATCH($B11,IS!$A:$A,0),MATCH(Summary!F$3,IS!$3:$3,0)),0)</f>
        <v>1004133.2401241621</v>
      </c>
      <c r="G11" s="60">
        <f ca="1">IFERROR(INDEX(IS,MATCH($B11,IS!$A:$A,0),MATCH(Summary!G$3,IS!$3:$3,0)),0)</f>
        <v>4030.12</v>
      </c>
      <c r="H11" s="66">
        <f ca="1">IFERROR(INDEX(IS,MATCH($B11,IS!$A:$A,0),MATCH(Summary!H$3,IS!$3:$3,0)),0)</f>
        <v>4045.9239510066855</v>
      </c>
      <c r="I11" s="66">
        <f ca="1">IFERROR(INDEX(IS,MATCH($B11,IS!$A:$A,0),MATCH(Summary!I$3,IS!$3:$3,0)),0)</f>
        <v>4054.0973559398672</v>
      </c>
      <c r="J11" s="66">
        <f ca="1">IFERROR(INDEX(IS,MATCH($B11,IS!$A:$A,0),MATCH(Summary!J$3,IS!$3:$3,0)),0)</f>
        <v>4068.6233154791776</v>
      </c>
      <c r="K11" s="66">
        <f ca="1">IFERROR(INDEX(IS,MATCH($B11,IS!$A:$A,0),MATCH(Summary!K$3,IS!$3:$3,0)),0)</f>
        <v>4076.3810931033518</v>
      </c>
      <c r="L11" s="66">
        <f ca="1">IFERROR(INDEX(IS,MATCH($B11,IS!$A:$A,0),MATCH(Summary!L$3,IS!$3:$3,0)),0)</f>
        <v>4080.7715338671123</v>
      </c>
      <c r="M11" s="66">
        <f ca="1">IFERROR(INDEX(IS,MATCH($B11,IS!$A:$A,0),MATCH(Summary!M$3,IS!$3:$3,0)),0)</f>
        <v>4173.8467257701614</v>
      </c>
      <c r="N11" s="66">
        <f ca="1">IFERROR(INDEX(IS,MATCH($B11,IS!$A:$A,0),MATCH(Summary!N$3,IS!$3:$3,0)),0)</f>
        <v>4271.7336525760384</v>
      </c>
      <c r="O11" s="66">
        <f ca="1">IFERROR(INDEX(IS,MATCH($B11,IS!$A:$A,0),MATCH(Summary!O$3,IS!$3:$3,0)),0)</f>
        <v>4372.5028067444227</v>
      </c>
      <c r="P11" s="66">
        <f ca="1">IFERROR(INDEX(IS,MATCH($B11,IS!$A:$A,0),MATCH(Summary!P$3,IS!$3:$3,0)),0)</f>
        <v>4424.9981680456558</v>
      </c>
      <c r="Q11" s="66">
        <f ca="1">IFERROR(INDEX(IS,MATCH($B11,IS!$A:$A,0),MATCH(Summary!Q$3,IS!$3:$3,0)),0)</f>
        <v>4455.8514833794616</v>
      </c>
      <c r="R11" s="66">
        <f ca="1">IFERROR(INDEX(IS,MATCH($B11,IS!$A:$A,0),MATCH(Summary!R$3,IS!$3:$3,0)),0)</f>
        <v>4476.06697472619</v>
      </c>
      <c r="S11" s="66">
        <f ca="1">IFERROR(INDEX(IS,MATCH($B11,IS!$A:$A,0),MATCH(Summary!S$3,IS!$3:$3,0)),0)</f>
        <v>5176.6113837531702</v>
      </c>
      <c r="T11" s="66">
        <f ca="1">IFERROR(INDEX(IS,MATCH($B11,IS!$A:$A,0),MATCH(Summary!T$3,IS!$3:$3,0)),0)</f>
        <v>5698.9278528933883</v>
      </c>
      <c r="U11" s="66">
        <f ca="1">IFERROR(INDEX(IS,MATCH($B11,IS!$A:$A,0),MATCH(Summary!U$3,IS!$3:$3,0)),0)</f>
        <v>6104.6031160806288</v>
      </c>
      <c r="V11" s="66">
        <f ca="1">IFERROR(INDEX(IS,MATCH($B11,IS!$A:$A,0),MATCH(Summary!V$3,IS!$3:$3,0)),0)</f>
        <v>6384.881359347376</v>
      </c>
      <c r="W11" s="66">
        <f ca="1">IFERROR(INDEX(IS,MATCH($B11,IS!$A:$A,0),MATCH(Summary!W$3,IS!$3:$3,0)),0)</f>
        <v>6586.265560005485</v>
      </c>
      <c r="X11" s="66">
        <f ca="1">IFERROR(INDEX(IS,MATCH($B11,IS!$A:$A,0),MATCH(Summary!X$3,IS!$3:$3,0)),0)</f>
        <v>6737.1860620668031</v>
      </c>
      <c r="Y11" s="66">
        <f ca="1">IFERROR(INDEX(IS,MATCH($B11,IS!$A:$A,0),MATCH(Summary!Y$3,IS!$3:$3,0)),0)</f>
        <v>6906.6053131708049</v>
      </c>
      <c r="Z11" s="66">
        <f ca="1">IFERROR(INDEX(IS,MATCH($B11,IS!$A:$A,0),MATCH(Summary!Z$3,IS!$3:$3,0)),0)</f>
        <v>17103.392014961421</v>
      </c>
      <c r="AA11" s="66">
        <f ca="1">IFERROR(INDEX(IS,MATCH($B11,IS!$A:$A,0),MATCH(Summary!AA$3,IS!$3:$3,0)),0)</f>
        <v>17511.062857582237</v>
      </c>
      <c r="AB11" s="66">
        <f ca="1">IFERROR(INDEX(IS,MATCH($B11,IS!$A:$A,0),MATCH(Summary!AB$3,IS!$3:$3,0)),0)</f>
        <v>24123.855369597397</v>
      </c>
      <c r="AC11" s="66">
        <f ca="1">IFERROR(INDEX(IS,MATCH($B11,IS!$A:$A,0),MATCH(Summary!AC$3,IS!$3:$3,0)),0)</f>
        <v>24391.21173920147</v>
      </c>
      <c r="AD11" s="66">
        <f ca="1">IFERROR(INDEX(IS,MATCH($B11,IS!$A:$A,0),MATCH(Summary!AD$3,IS!$3:$3,0)),0)</f>
        <v>24628.707775295246</v>
      </c>
      <c r="AE11" s="66">
        <f ca="1">IFERROR(INDEX(IS,MATCH($B11,IS!$A:$A,0),MATCH(Summary!AE$3,IS!$3:$3,0)),0)</f>
        <v>27482.962734845765</v>
      </c>
      <c r="AF11" s="66">
        <f ca="1">IFERROR(INDEX(IS,MATCH($B11,IS!$A:$A,0),MATCH(Summary!AF$3,IS!$3:$3,0)),0)</f>
        <v>29378.07943323021</v>
      </c>
      <c r="AG11" s="66">
        <f ca="1">IFERROR(INDEX(IS,MATCH($B11,IS!$A:$A,0),MATCH(Summary!AG$3,IS!$3:$3,0)),0)</f>
        <v>30813.628024449372</v>
      </c>
      <c r="AH11" s="66">
        <f ca="1">IFERROR(INDEX(IS,MATCH($B11,IS!$A:$A,0),MATCH(Summary!AH$3,IS!$3:$3,0)),0)</f>
        <v>31922.60441035105</v>
      </c>
      <c r="AI11" s="66">
        <f ca="1">IFERROR(INDEX(IS,MATCH($B11,IS!$A:$A,0),MATCH(Summary!AI$3,IS!$3:$3,0)),0)</f>
        <v>32800.843984695552</v>
      </c>
      <c r="AJ11" s="66">
        <f ca="1">IFERROR(INDEX(IS,MATCH($B11,IS!$A:$A,0),MATCH(Summary!AJ$3,IS!$3:$3,0)),0)</f>
        <v>33517.388402747427</v>
      </c>
      <c r="AK11" s="66">
        <f ca="1">IFERROR(INDEX(IS,MATCH($B11,IS!$A:$A,0),MATCH(Summary!AK$3,IS!$3:$3,0)),0)</f>
        <v>34590.832984707951</v>
      </c>
      <c r="AL11" s="66">
        <f ca="1">IFERROR(INDEX(IS,MATCH($B11,IS!$A:$A,0),MATCH(Summary!AL$3,IS!$3:$3,0)),0)</f>
        <v>35458.328292780221</v>
      </c>
      <c r="AM11" s="66">
        <f ca="1">IFERROR(INDEX(IS,MATCH($B11,IS!$A:$A,0),MATCH(Summary!AM$3,IS!$3:$3,0)),0)</f>
        <v>36182.441685104575</v>
      </c>
      <c r="AN11" s="66">
        <f ca="1">IFERROR(INDEX(IS,MATCH($B11,IS!$A:$A,0),MATCH(Summary!AN$3,IS!$3:$3,0)),0)</f>
        <v>37385.441929535446</v>
      </c>
      <c r="AO11" s="66">
        <f ca="1">IFERROR(INDEX(IS,MATCH($B11,IS!$A:$A,0),MATCH(Summary!AO$3,IS!$3:$3,0)),0)</f>
        <v>38471.170762708898</v>
      </c>
      <c r="AP11" s="66">
        <f ca="1">IFERROR(INDEX(IS,MATCH($B11,IS!$A:$A,0),MATCH(Summary!AP$3,IS!$3:$3,0)),0)</f>
        <v>39478.567398441795</v>
      </c>
      <c r="AQ11" s="66">
        <f ca="1">IFERROR(INDEX(IS,MATCH($B11,IS!$A:$A,0),MATCH(Summary!AQ$3,IS!$3:$3,0)),0)</f>
        <v>54129.083145465687</v>
      </c>
      <c r="AR11" s="66">
        <f ca="1">IFERROR(INDEX(IS,MATCH($B11,IS!$A:$A,0),MATCH(Summary!AR$3,IS!$3:$3,0)),0)</f>
        <v>60128.675397084429</v>
      </c>
      <c r="AS11" s="66">
        <f ca="1">IFERROR(INDEX(IS,MATCH($B11,IS!$A:$A,0),MATCH(Summary!AS$3,IS!$3:$3,0)),0)</f>
        <v>65064.269588575211</v>
      </c>
      <c r="AT11" s="66">
        <f ca="1">IFERROR(INDEX(IS,MATCH($B11,IS!$A:$A,0),MATCH(Summary!AT$3,IS!$3:$3,0)),0)</f>
        <v>76231.50663171726</v>
      </c>
      <c r="AU11" s="66">
        <f ca="1">IFERROR(INDEX(IS,MATCH($B11,IS!$A:$A,0),MATCH(Summary!AU$3,IS!$3:$3,0)),0)</f>
        <v>79924.962846829061</v>
      </c>
      <c r="AV11" s="66">
        <f ca="1">IFERROR(INDEX(IS,MATCH($B11,IS!$A:$A,0),MATCH(Summary!AV$3,IS!$3:$3,0)),0)</f>
        <v>83216.199651419432</v>
      </c>
      <c r="AW11" s="66">
        <f ca="1">IFERROR(INDEX(IS,MATCH($B11,IS!$A:$A,0),MATCH(Summary!AW$3,IS!$3:$3,0)),0)</f>
        <v>86208.226327349461</v>
      </c>
      <c r="AX11" s="66">
        <f ca="1">IFERROR(INDEX(IS,MATCH($B11,IS!$A:$A,0),MATCH(Summary!AX$3,IS!$3:$3,0)),0)</f>
        <v>88990.887817382347</v>
      </c>
      <c r="AY11" s="66">
        <f ca="1">IFERROR(INDEX(IS,MATCH($B11,IS!$A:$A,0),MATCH(Summary!AY$3,IS!$3:$3,0)),0)</f>
        <v>98564.824568779572</v>
      </c>
      <c r="AZ11" s="66">
        <f ca="1">IFERROR(INDEX(IS,MATCH($B11,IS!$A:$A,0),MATCH(Summary!AZ$3,IS!$3:$3,0)),0)</f>
        <v>101206.35035758735</v>
      </c>
      <c r="BA11" s="66">
        <f ca="1">IFERROR(INDEX(IS,MATCH($B11,IS!$A:$A,0),MATCH(Summary!BA$3,IS!$3:$3,0)),0)</f>
        <v>103878.4702067934</v>
      </c>
      <c r="BB11" s="66">
        <f ca="1">IFERROR(INDEX(IS,MATCH($B11,IS!$A:$A,0),MATCH(Summary!BB$3,IS!$3:$3,0)),0)</f>
        <v>106589.78358517893</v>
      </c>
      <c r="BC11" s="66"/>
      <c r="BD11" s="66"/>
      <c r="BE11" s="66"/>
      <c r="BF11" s="66"/>
      <c r="BG11" s="66"/>
      <c r="BH11" s="66"/>
    </row>
    <row r="12" spans="1:16382" s="67" customFormat="1" ht="12.75" customHeight="1" x14ac:dyDescent="0.15">
      <c r="A12" s="59" t="s">
        <v>0</v>
      </c>
      <c r="B12" s="59" t="s">
        <v>0</v>
      </c>
      <c r="C12" s="318">
        <f ca="1">IFERROR(INDEX(IS,MATCH($B12,IS!$A:$A,0),MATCH(Summary!C$3,IS!$3:$3,0)),0)</f>
        <v>33832.984960632653</v>
      </c>
      <c r="D12" s="60">
        <f ca="1">IFERROR(INDEX(IS,MATCH($B12,IS!$A:$A,0),MATCH(Summary!D$3,IS!$3:$3,0)),0)</f>
        <v>937223.05261449178</v>
      </c>
      <c r="E12" s="60">
        <f ca="1">IFERROR(INDEX(IS,MATCH($B12,IS!$A:$A,0),MATCH(Summary!E$3,IS!$3:$3,0)),0)</f>
        <v>2762162.9579803813</v>
      </c>
      <c r="F12" s="60">
        <f ca="1">IFERROR(INDEX(IS,MATCH($B12,IS!$A:$A,0),MATCH(Summary!F$3,IS!$3:$3,0)),0)</f>
        <v>8743864.7423583213</v>
      </c>
      <c r="G12" s="60">
        <f ca="1">IFERROR(INDEX(IS,MATCH($B12,IS!$A:$A,0),MATCH(Summary!G$3,IS!$3:$3,0)),0)</f>
        <v>-3026.12</v>
      </c>
      <c r="H12" s="66">
        <f ca="1">IFERROR(INDEX(IS,MATCH($B12,IS!$A:$A,0),MATCH(Summary!H$3,IS!$3:$3,0)),0)</f>
        <v>-2515.1255841171715</v>
      </c>
      <c r="I12" s="66">
        <f ca="1">IFERROR(INDEX(IS,MATCH($B12,IS!$A:$A,0),MATCH(Summary!I$3,IS!$3:$3,0)),0)</f>
        <v>-2250.8521579442959</v>
      </c>
      <c r="J12" s="66">
        <f ca="1">IFERROR(INDEX(IS,MATCH($B12,IS!$A:$A,0),MATCH(Summary!J$3,IS!$3:$3,0)),0)</f>
        <v>-1781.1794661732515</v>
      </c>
      <c r="K12" s="66">
        <f ca="1">IFERROR(INDEX(IS,MATCH($B12,IS!$A:$A,0),MATCH(Summary!K$3,IS!$3:$3,0)),0)</f>
        <v>-1530.3446563249618</v>
      </c>
      <c r="L12" s="66">
        <f ca="1">IFERROR(INDEX(IS,MATCH($B12,IS!$A:$A,0),MATCH(Summary!L$3,IS!$3:$3,0)),0)</f>
        <v>-1388.3870716300389</v>
      </c>
      <c r="M12" s="66">
        <f ca="1">IFERROR(INDEX(IS,MATCH($B12,IS!$A:$A,0),MATCH(Summary!M$3,IS!$3:$3,0)),0)</f>
        <v>1621.0441332352166</v>
      </c>
      <c r="N12" s="66">
        <f ca="1">IFERROR(INDEX(IS,MATCH($B12,IS!$A:$A,0),MATCH(Summary!N$3,IS!$3:$3,0)),0)</f>
        <v>4786.0547666252351</v>
      </c>
      <c r="O12" s="66">
        <f ca="1">IFERROR(INDEX(IS,MATCH($B12,IS!$A:$A,0),MATCH(Summary!O$3,IS!$3:$3,0)),0)</f>
        <v>8044.2574180696656</v>
      </c>
      <c r="P12" s="66">
        <f ca="1">IFERROR(INDEX(IS,MATCH($B12,IS!$A:$A,0),MATCH(Summary!P$3,IS!$3:$3,0)),0)</f>
        <v>9741.6074334762015</v>
      </c>
      <c r="Q12" s="66">
        <f ca="1">IFERROR(INDEX(IS,MATCH($B12,IS!$A:$A,0),MATCH(Summary!Q$3,IS!$3:$3,0)),0)</f>
        <v>10739.197962602579</v>
      </c>
      <c r="R12" s="66">
        <f ca="1">IFERROR(INDEX(IS,MATCH($B12,IS!$A:$A,0),MATCH(Summary!R$3,IS!$3:$3,0)),0)</f>
        <v>11392.832182813476</v>
      </c>
      <c r="S12" s="66">
        <f ca="1">IFERROR(INDEX(IS,MATCH($B12,IS!$A:$A,0),MATCH(Summary!S$3,IS!$3:$3,0)),0)</f>
        <v>34043.768074685824</v>
      </c>
      <c r="T12" s="66">
        <f ca="1">IFERROR(INDEX(IS,MATCH($B12,IS!$A:$A,0),MATCH(Summary!T$3,IS!$3:$3,0)),0)</f>
        <v>50932.000576886232</v>
      </c>
      <c r="U12" s="66">
        <f ca="1">IFERROR(INDEX(IS,MATCH($B12,IS!$A:$A,0),MATCH(Summary!U$3,IS!$3:$3,0)),0)</f>
        <v>64048.834086607007</v>
      </c>
      <c r="V12" s="66">
        <f ca="1">IFERROR(INDEX(IS,MATCH($B12,IS!$A:$A,0),MATCH(Summary!V$3,IS!$3:$3,0)),0)</f>
        <v>73111.163952231829</v>
      </c>
      <c r="W12" s="66">
        <f ca="1">IFERROR(INDEX(IS,MATCH($B12,IS!$A:$A,0),MATCH(Summary!W$3,IS!$3:$3,0)),0)</f>
        <v>79622.586440177343</v>
      </c>
      <c r="X12" s="66">
        <f ca="1">IFERROR(INDEX(IS,MATCH($B12,IS!$A:$A,0),MATCH(Summary!X$3,IS!$3:$3,0)),0)</f>
        <v>84502.349340159984</v>
      </c>
      <c r="Y12" s="66">
        <f ca="1">IFERROR(INDEX(IS,MATCH($B12,IS!$A:$A,0),MATCH(Summary!Y$3,IS!$3:$3,0)),0)</f>
        <v>89980.238459189364</v>
      </c>
      <c r="Z12" s="66">
        <f ca="1">IFERROR(INDEX(IS,MATCH($B12,IS!$A:$A,0),MATCH(Summary!Z$3,IS!$3:$3,0)),0)</f>
        <v>85895.44055479893</v>
      </c>
      <c r="AA12" s="66">
        <f ca="1">IFERROR(INDEX(IS,MATCH($B12,IS!$A:$A,0),MATCH(Summary!AA$3,IS!$3:$3,0)),0)</f>
        <v>91964.862951349991</v>
      </c>
      <c r="AB12" s="66">
        <f ca="1">IFERROR(INDEX(IS,MATCH($B12,IS!$A:$A,0),MATCH(Summary!AB$3,IS!$3:$3,0)),0)</f>
        <v>90455.959754755459</v>
      </c>
      <c r="AC12" s="66">
        <f ca="1">IFERROR(INDEX(IS,MATCH($B12,IS!$A:$A,0),MATCH(Summary!AC$3,IS!$3:$3,0)),0)</f>
        <v>94516.347152396978</v>
      </c>
      <c r="AD12" s="66">
        <f ca="1">IFERROR(INDEX(IS,MATCH($B12,IS!$A:$A,0),MATCH(Summary!AD$3,IS!$3:$3,0)),0)</f>
        <v>98149.501271252841</v>
      </c>
      <c r="AE12" s="66">
        <f ca="1">IFERROR(INDEX(IS,MATCH($B12,IS!$A:$A,0),MATCH(Summary!AE$3,IS!$3:$3,0)),0)</f>
        <v>134659.70048061697</v>
      </c>
      <c r="AF12" s="66">
        <f ca="1">IFERROR(INDEX(IS,MATCH($B12,IS!$A:$A,0),MATCH(Summary!AF$3,IS!$3:$3,0)),0)</f>
        <v>162270.75996957955</v>
      </c>
      <c r="AG12" s="66">
        <f ca="1">IFERROR(INDEX(IS,MATCH($B12,IS!$A:$A,0),MATCH(Summary!AG$3,IS!$3:$3,0)),0)</f>
        <v>183310.49607320008</v>
      </c>
      <c r="AH12" s="66">
        <f ca="1">IFERROR(INDEX(IS,MATCH($B12,IS!$A:$A,0),MATCH(Summary!AH$3,IS!$3:$3,0)),0)</f>
        <v>199680.35921916799</v>
      </c>
      <c r="AI12" s="66">
        <f ca="1">IFERROR(INDEX(IS,MATCH($B12,IS!$A:$A,0),MATCH(Summary!AI$3,IS!$3:$3,0)),0)</f>
        <v>212750.53503001577</v>
      </c>
      <c r="AJ12" s="66">
        <f ca="1">IFERROR(INDEX(IS,MATCH($B12,IS!$A:$A,0),MATCH(Summary!AJ$3,IS!$3:$3,0)),0)</f>
        <v>223508.14938121202</v>
      </c>
      <c r="AK12" s="66">
        <f ca="1">IFERROR(INDEX(IS,MATCH($B12,IS!$A:$A,0),MATCH(Summary!AK$3,IS!$3:$3,0)),0)</f>
        <v>239424.19008991413</v>
      </c>
      <c r="AL12" s="66">
        <f ca="1">IFERROR(INDEX(IS,MATCH($B12,IS!$A:$A,0),MATCH(Summary!AL$3,IS!$3:$3,0)),0)</f>
        <v>252394.71501013538</v>
      </c>
      <c r="AM12" s="66">
        <f ca="1">IFERROR(INDEX(IS,MATCH($B12,IS!$A:$A,0),MATCH(Summary!AM$3,IS!$3:$3,0)),0)</f>
        <v>263314.29711505107</v>
      </c>
      <c r="AN12" s="66">
        <f ca="1">IFERROR(INDEX(IS,MATCH($B12,IS!$A:$A,0),MATCH(Summary!AN$3,IS!$3:$3,0)),0)</f>
        <v>281149.23357155081</v>
      </c>
      <c r="AO12" s="66">
        <f ca="1">IFERROR(INDEX(IS,MATCH($B12,IS!$A:$A,0),MATCH(Summary!AO$3,IS!$3:$3,0)),0)</f>
        <v>297319.30224243627</v>
      </c>
      <c r="AP12" s="66">
        <f ca="1">IFERROR(INDEX(IS,MATCH($B12,IS!$A:$A,0),MATCH(Summary!AP$3,IS!$3:$3,0)),0)</f>
        <v>312381.21979750064</v>
      </c>
      <c r="AQ12" s="66">
        <f ca="1">IFERROR(INDEX(IS,MATCH($B12,IS!$A:$A,0),MATCH(Summary!AQ$3,IS!$3:$3,0)),0)</f>
        <v>412069.88676496927</v>
      </c>
      <c r="AR12" s="66">
        <f ca="1">IFERROR(INDEX(IS,MATCH($B12,IS!$A:$A,0),MATCH(Summary!AR$3,IS!$3:$3,0)),0)</f>
        <v>499350.85582135257</v>
      </c>
      <c r="AS12" s="66">
        <f ca="1">IFERROR(INDEX(IS,MATCH($B12,IS!$A:$A,0),MATCH(Summary!AS$3,IS!$3:$3,0)),0)</f>
        <v>571468.08630554739</v>
      </c>
      <c r="AT12" s="66">
        <f ca="1">IFERROR(INDEX(IS,MATCH($B12,IS!$A:$A,0),MATCH(Summary!AT$3,IS!$3:$3,0)),0)</f>
        <v>626571.73356924905</v>
      </c>
      <c r="AU12" s="66">
        <f ca="1">IFERROR(INDEX(IS,MATCH($B12,IS!$A:$A,0),MATCH(Summary!AU$3,IS!$3:$3,0)),0)</f>
        <v>681031.54552100215</v>
      </c>
      <c r="AV12" s="66">
        <f ca="1">IFERROR(INDEX(IS,MATCH($B12,IS!$A:$A,0),MATCH(Summary!AV$3,IS!$3:$3,0)),0)</f>
        <v>729784.7129389738</v>
      </c>
      <c r="AW12" s="66">
        <f ca="1">IFERROR(INDEX(IS,MATCH($B12,IS!$A:$A,0),MATCH(Summary!AW$3,IS!$3:$3,0)),0)</f>
        <v>774300.58921403962</v>
      </c>
      <c r="AX12" s="66">
        <f ca="1">IFERROR(INDEX(IS,MATCH($B12,IS!$A:$A,0),MATCH(Summary!AX$3,IS!$3:$3,0)),0)</f>
        <v>815862.193317194</v>
      </c>
      <c r="AY12" s="66">
        <f ca="1">IFERROR(INDEX(IS,MATCH($B12,IS!$A:$A,0),MATCH(Summary!AY$3,IS!$3:$3,0)),0)</f>
        <v>848395.07127506181</v>
      </c>
      <c r="AZ12" s="66">
        <f ca="1">IFERROR(INDEX(IS,MATCH($B12,IS!$A:$A,0),MATCH(Summary!AZ$3,IS!$3:$3,0)),0)</f>
        <v>888024.41187250719</v>
      </c>
      <c r="BA12" s="66">
        <f ca="1">IFERROR(INDEX(IS,MATCH($B12,IS!$A:$A,0),MATCH(Summary!BA$3,IS!$3:$3,0)),0)</f>
        <v>928140.31664110254</v>
      </c>
      <c r="BB12" s="66">
        <f ca="1">IFERROR(INDEX(IS,MATCH($B12,IS!$A:$A,0),MATCH(Summary!BB$3,IS!$3:$3,0)),0)</f>
        <v>968865.33911732188</v>
      </c>
      <c r="BC12" s="61"/>
      <c r="BD12" s="61"/>
      <c r="BE12" s="61"/>
      <c r="BF12" s="66"/>
      <c r="BG12" s="66"/>
      <c r="BH12" s="66"/>
    </row>
    <row r="13" spans="1:16382" s="69" customFormat="1" ht="12.75" customHeight="1" x14ac:dyDescent="0.15">
      <c r="A13" s="68" t="s">
        <v>3</v>
      </c>
      <c r="B13" s="68"/>
      <c r="C13" s="315">
        <f t="shared" ref="C13:F13" ca="1" si="3">IFERROR(C12/C9,0)</f>
        <v>0.40103627440208134</v>
      </c>
      <c r="D13" s="314">
        <f t="shared" ca="1" si="3"/>
        <v>0.86096215612814064</v>
      </c>
      <c r="E13" s="314">
        <f t="shared" ca="1" si="3"/>
        <v>0.87144230405669831</v>
      </c>
      <c r="F13" s="314">
        <f t="shared" ca="1" si="3"/>
        <v>0.89699082396932894</v>
      </c>
      <c r="G13" s="314">
        <f ca="1">IFERROR(G12/G9,0)</f>
        <v>-3.0140637450199201</v>
      </c>
      <c r="H13" s="314">
        <f t="shared" ref="H13:BB13" ca="1" si="4">IFERROR(H12/H9,0)</f>
        <v>-1.6430155914183187</v>
      </c>
      <c r="I13" s="314">
        <f t="shared" ca="1" si="4"/>
        <v>-1.2482230150654332</v>
      </c>
      <c r="J13" s="314">
        <f t="shared" ca="1" si="4"/>
        <v>-0.77867680411639861</v>
      </c>
      <c r="K13" s="314">
        <f t="shared" ca="1" si="4"/>
        <v>-0.60106942470209623</v>
      </c>
      <c r="L13" s="314">
        <f t="shared" ca="1" si="4"/>
        <v>-0.51567192245510252</v>
      </c>
      <c r="M13" s="314">
        <f t="shared" ca="1" si="4"/>
        <v>0.27973678412184089</v>
      </c>
      <c r="N13" s="314">
        <f t="shared" ca="1" si="4"/>
        <v>0.52839109781803395</v>
      </c>
      <c r="O13" s="314">
        <f t="shared" ca="1" si="4"/>
        <v>0.64785477632029487</v>
      </c>
      <c r="P13" s="314">
        <f t="shared" ca="1" si="4"/>
        <v>0.68764584174134868</v>
      </c>
      <c r="Q13" s="314">
        <f t="shared" ca="1" si="4"/>
        <v>0.70675636830140731</v>
      </c>
      <c r="R13" s="314">
        <f t="shared" ca="1" si="4"/>
        <v>0.71793462607017</v>
      </c>
      <c r="S13" s="314">
        <f t="shared" ca="1" si="4"/>
        <v>0.86801220551069092</v>
      </c>
      <c r="T13" s="314">
        <f t="shared" ca="1" si="4"/>
        <v>0.89936721839268696</v>
      </c>
      <c r="U13" s="314">
        <f t="shared" ca="1" si="4"/>
        <v>0.91298212376332777</v>
      </c>
      <c r="V13" s="314">
        <f t="shared" ca="1" si="4"/>
        <v>0.91968303159833575</v>
      </c>
      <c r="W13" s="314">
        <f t="shared" ca="1" si="4"/>
        <v>0.92360105247670488</v>
      </c>
      <c r="X13" s="314">
        <f t="shared" ca="1" si="4"/>
        <v>0.9261593558936253</v>
      </c>
      <c r="Y13" s="314">
        <f t="shared" ca="1" si="4"/>
        <v>0.92871472488671247</v>
      </c>
      <c r="Z13" s="314">
        <f t="shared" ca="1" si="4"/>
        <v>0.83394576823599031</v>
      </c>
      <c r="AA13" s="314">
        <f t="shared" ca="1" si="4"/>
        <v>0.8400464510513096</v>
      </c>
      <c r="AB13" s="314">
        <f t="shared" ca="1" si="4"/>
        <v>0.78945807039908467</v>
      </c>
      <c r="AC13" s="314">
        <f t="shared" ca="1" si="4"/>
        <v>0.79487248778323993</v>
      </c>
      <c r="AD13" s="314">
        <f t="shared" ca="1" si="4"/>
        <v>0.79940489467509723</v>
      </c>
      <c r="AE13" s="314">
        <f t="shared" ca="1" si="4"/>
        <v>0.8305013486899181</v>
      </c>
      <c r="AF13" s="314">
        <f t="shared" ca="1" si="4"/>
        <v>0.84670880593498909</v>
      </c>
      <c r="AG13" s="314">
        <f t="shared" ca="1" si="4"/>
        <v>0.85609455191327677</v>
      </c>
      <c r="AH13" s="314">
        <f t="shared" ca="1" si="4"/>
        <v>0.86216668426827359</v>
      </c>
      <c r="AI13" s="314">
        <f t="shared" ca="1" si="4"/>
        <v>0.86641963031805891</v>
      </c>
      <c r="AJ13" s="314">
        <f t="shared" ca="1" si="4"/>
        <v>0.86959510447199151</v>
      </c>
      <c r="AK13" s="314">
        <f t="shared" ca="1" si="4"/>
        <v>0.87376300541270724</v>
      </c>
      <c r="AL13" s="314">
        <f t="shared" ca="1" si="4"/>
        <v>0.87681794888836229</v>
      </c>
      <c r="AM13" s="314">
        <f t="shared" ca="1" si="4"/>
        <v>0.87918919641643267</v>
      </c>
      <c r="AN13" s="314">
        <f t="shared" ca="1" si="4"/>
        <v>0.88263305440538142</v>
      </c>
      <c r="AO13" s="314">
        <f t="shared" ca="1" si="4"/>
        <v>0.88543102364277204</v>
      </c>
      <c r="AP13" s="314">
        <f t="shared" ca="1" si="4"/>
        <v>0.88780028626443441</v>
      </c>
      <c r="AQ13" s="314">
        <f t="shared" ca="1" si="4"/>
        <v>0.88389274400184781</v>
      </c>
      <c r="AR13" s="314">
        <f t="shared" ca="1" si="4"/>
        <v>0.89252747948412703</v>
      </c>
      <c r="AS13" s="314">
        <f t="shared" ca="1" si="4"/>
        <v>0.89778324858729153</v>
      </c>
      <c r="AT13" s="314">
        <f t="shared" ca="1" si="4"/>
        <v>0.89153222086750916</v>
      </c>
      <c r="AU13" s="314">
        <f t="shared" ca="1" si="4"/>
        <v>0.8949677649537956</v>
      </c>
      <c r="AV13" s="314">
        <f t="shared" ca="1" si="4"/>
        <v>0.89764316575454395</v>
      </c>
      <c r="AW13" s="314">
        <f t="shared" ca="1" si="4"/>
        <v>0.89981714914435651</v>
      </c>
      <c r="AX13" s="314">
        <f t="shared" ca="1" si="4"/>
        <v>0.90165156126141655</v>
      </c>
      <c r="AY13" s="314">
        <f t="shared" ca="1" si="4"/>
        <v>0.89591446797126728</v>
      </c>
      <c r="AZ13" s="314">
        <f t="shared" ca="1" si="4"/>
        <v>0.89769186905446563</v>
      </c>
      <c r="BA13" s="314">
        <f t="shared" ca="1" si="4"/>
        <v>0.89934439999481952</v>
      </c>
      <c r="BB13" s="314">
        <f t="shared" ca="1" si="4"/>
        <v>0.90088867370185521</v>
      </c>
    </row>
    <row r="14" spans="1:16382" ht="12.75" customHeight="1" x14ac:dyDescent="0.15">
      <c r="C14" s="55"/>
      <c r="D14" s="21"/>
      <c r="E14" s="21"/>
      <c r="F14" s="21"/>
      <c r="G14" s="21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7"/>
      <c r="BG14" s="57"/>
      <c r="BH14" s="57"/>
    </row>
    <row r="15" spans="1:16382" s="32" customFormat="1" ht="12.75" customHeight="1" x14ac:dyDescent="0.15">
      <c r="A15" s="58" t="s">
        <v>54</v>
      </c>
      <c r="B15" s="58"/>
      <c r="C15" s="307"/>
      <c r="D15" s="64"/>
      <c r="E15" s="64"/>
      <c r="F15" s="64"/>
      <c r="G15" s="65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</row>
    <row r="16" spans="1:16382" ht="12.75" customHeight="1" x14ac:dyDescent="0.15">
      <c r="A16" s="47" t="s">
        <v>60</v>
      </c>
      <c r="B16" s="54" t="s">
        <v>106</v>
      </c>
      <c r="C16" s="316">
        <f>IFERROR(INDEX(IS,MATCH($B16,IS!$A:$A,0),MATCH(Summary!C$3,IS!$3:$3,0)),0)</f>
        <v>406693.74999999994</v>
      </c>
      <c r="D16" s="22">
        <f>IFERROR(INDEX(IS,MATCH($B16,IS!$A:$A,0),MATCH(Summary!D$3,IS!$3:$3,0)),0)</f>
        <v>1092023.9375</v>
      </c>
      <c r="E16" s="22">
        <f>IFERROR(INDEX(IS,MATCH($B16,IS!$A:$A,0),MATCH(Summary!E$3,IS!$3:$3,0)),0)</f>
        <v>1817432.9093749998</v>
      </c>
      <c r="F16" s="22">
        <f>IFERROR(INDEX(IS,MATCH($B16,IS!$A:$A,0),MATCH(Summary!F$3,IS!$3:$3,0)),0)</f>
        <v>2372662.7821874996</v>
      </c>
      <c r="G16" s="22">
        <f>IFERROR(INDEX(IS,MATCH($B16,IS!$A:$A,0),MATCH(Summary!G$3,IS!$3:$3,0)),0)</f>
        <v>27529.583333333332</v>
      </c>
      <c r="H16" s="57">
        <f>IFERROR(INDEX(IS,MATCH($B16,IS!$A:$A,0),MATCH(Summary!H$3,IS!$3:$3,0)),0)</f>
        <v>27529.583333333332</v>
      </c>
      <c r="I16" s="57">
        <f>IFERROR(INDEX(IS,MATCH($B16,IS!$A:$A,0),MATCH(Summary!I$3,IS!$3:$3,0)),0)</f>
        <v>27529.583333333332</v>
      </c>
      <c r="J16" s="57">
        <f>IFERROR(INDEX(IS,MATCH($B16,IS!$A:$A,0),MATCH(Summary!J$3,IS!$3:$3,0)),0)</f>
        <v>27529.583333333332</v>
      </c>
      <c r="K16" s="57">
        <f>IFERROR(INDEX(IS,MATCH($B16,IS!$A:$A,0),MATCH(Summary!K$3,IS!$3:$3,0)),0)</f>
        <v>27529.583333333332</v>
      </c>
      <c r="L16" s="57">
        <f>IFERROR(INDEX(IS,MATCH($B16,IS!$A:$A,0),MATCH(Summary!L$3,IS!$3:$3,0)),0)</f>
        <v>27529.583333333332</v>
      </c>
      <c r="M16" s="57">
        <f>IFERROR(INDEX(IS,MATCH($B16,IS!$A:$A,0),MATCH(Summary!M$3,IS!$3:$3,0)),0)</f>
        <v>40252.708333333336</v>
      </c>
      <c r="N16" s="57">
        <f>IFERROR(INDEX(IS,MATCH($B16,IS!$A:$A,0),MATCH(Summary!N$3,IS!$3:$3,0)),0)</f>
        <v>40252.708333333336</v>
      </c>
      <c r="O16" s="57">
        <f>IFERROR(INDEX(IS,MATCH($B16,IS!$A:$A,0),MATCH(Summary!O$3,IS!$3:$3,0)),0)</f>
        <v>40252.708333333336</v>
      </c>
      <c r="P16" s="57">
        <f>IFERROR(INDEX(IS,MATCH($B16,IS!$A:$A,0),MATCH(Summary!P$3,IS!$3:$3,0)),0)</f>
        <v>40252.708333333336</v>
      </c>
      <c r="Q16" s="57">
        <f>IFERROR(INDEX(IS,MATCH($B16,IS!$A:$A,0),MATCH(Summary!Q$3,IS!$3:$3,0)),0)</f>
        <v>40252.708333333336</v>
      </c>
      <c r="R16" s="57">
        <f>IFERROR(INDEX(IS,MATCH($B16,IS!$A:$A,0),MATCH(Summary!R$3,IS!$3:$3,0)),0)</f>
        <v>40252.708333333336</v>
      </c>
      <c r="S16" s="57">
        <f>IFERROR(INDEX(IS,MATCH($B16,IS!$A:$A,0),MATCH(Summary!S$3,IS!$3:$3,0)),0)</f>
        <v>70963.072916666672</v>
      </c>
      <c r="T16" s="57">
        <f>IFERROR(INDEX(IS,MATCH($B16,IS!$A:$A,0),MATCH(Summary!T$3,IS!$3:$3,0)),0)</f>
        <v>70963.072916666672</v>
      </c>
      <c r="U16" s="57">
        <f>IFERROR(INDEX(IS,MATCH($B16,IS!$A:$A,0),MATCH(Summary!U$3,IS!$3:$3,0)),0)</f>
        <v>70963.072916666672</v>
      </c>
      <c r="V16" s="57">
        <f>IFERROR(INDEX(IS,MATCH($B16,IS!$A:$A,0),MATCH(Summary!V$3,IS!$3:$3,0)),0)</f>
        <v>84322.354166666672</v>
      </c>
      <c r="W16" s="57">
        <f>IFERROR(INDEX(IS,MATCH($B16,IS!$A:$A,0),MATCH(Summary!W$3,IS!$3:$3,0)),0)</f>
        <v>84322.354166666672</v>
      </c>
      <c r="X16" s="57">
        <f>IFERROR(INDEX(IS,MATCH($B16,IS!$A:$A,0),MATCH(Summary!X$3,IS!$3:$3,0)),0)</f>
        <v>84322.354166666672</v>
      </c>
      <c r="Y16" s="57">
        <f>IFERROR(INDEX(IS,MATCH($B16,IS!$A:$A,0),MATCH(Summary!Y$3,IS!$3:$3,0)),0)</f>
        <v>97681.635416666672</v>
      </c>
      <c r="Z16" s="57">
        <f>IFERROR(INDEX(IS,MATCH($B16,IS!$A:$A,0),MATCH(Summary!Z$3,IS!$3:$3,0)),0)</f>
        <v>97681.635416666672</v>
      </c>
      <c r="AA16" s="57">
        <f>IFERROR(INDEX(IS,MATCH($B16,IS!$A:$A,0),MATCH(Summary!AA$3,IS!$3:$3,0)),0)</f>
        <v>97681.635416666672</v>
      </c>
      <c r="AB16" s="57">
        <f>IFERROR(INDEX(IS,MATCH($B16,IS!$A:$A,0),MATCH(Summary!AB$3,IS!$3:$3,0)),0)</f>
        <v>111040.91666666667</v>
      </c>
      <c r="AC16" s="57">
        <f>IFERROR(INDEX(IS,MATCH($B16,IS!$A:$A,0),MATCH(Summary!AC$3,IS!$3:$3,0)),0)</f>
        <v>111040.91666666667</v>
      </c>
      <c r="AD16" s="57">
        <f>IFERROR(INDEX(IS,MATCH($B16,IS!$A:$A,0),MATCH(Summary!AD$3,IS!$3:$3,0)),0)</f>
        <v>111040.91666666667</v>
      </c>
      <c r="AE16" s="57">
        <f>IFERROR(INDEX(IS,MATCH($B16,IS!$A:$A,0),MATCH(Summary!AE$3,IS!$3:$3,0)),0)</f>
        <v>130411.87447916667</v>
      </c>
      <c r="AF16" s="57">
        <f>IFERROR(INDEX(IS,MATCH($B16,IS!$A:$A,0),MATCH(Summary!AF$3,IS!$3:$3,0)),0)</f>
        <v>130411.87447916667</v>
      </c>
      <c r="AG16" s="57">
        <f>IFERROR(INDEX(IS,MATCH($B16,IS!$A:$A,0),MATCH(Summary!AG$3,IS!$3:$3,0)),0)</f>
        <v>130411.87447916667</v>
      </c>
      <c r="AH16" s="57">
        <f>IFERROR(INDEX(IS,MATCH($B16,IS!$A:$A,0),MATCH(Summary!AH$3,IS!$3:$3,0)),0)</f>
        <v>144439.11979166666</v>
      </c>
      <c r="AI16" s="57">
        <f>IFERROR(INDEX(IS,MATCH($B16,IS!$A:$A,0),MATCH(Summary!AI$3,IS!$3:$3,0)),0)</f>
        <v>144439.11979166666</v>
      </c>
      <c r="AJ16" s="57">
        <f>IFERROR(INDEX(IS,MATCH($B16,IS!$A:$A,0),MATCH(Summary!AJ$3,IS!$3:$3,0)),0)</f>
        <v>144439.11979166666</v>
      </c>
      <c r="AK16" s="57">
        <f>IFERROR(INDEX(IS,MATCH($B16,IS!$A:$A,0),MATCH(Summary!AK$3,IS!$3:$3,0)),0)</f>
        <v>158466.36510416667</v>
      </c>
      <c r="AL16" s="57">
        <f>IFERROR(INDEX(IS,MATCH($B16,IS!$A:$A,0),MATCH(Summary!AL$3,IS!$3:$3,0)),0)</f>
        <v>158466.36510416667</v>
      </c>
      <c r="AM16" s="57">
        <f>IFERROR(INDEX(IS,MATCH($B16,IS!$A:$A,0),MATCH(Summary!AM$3,IS!$3:$3,0)),0)</f>
        <v>158466.36510416667</v>
      </c>
      <c r="AN16" s="57">
        <f>IFERROR(INDEX(IS,MATCH($B16,IS!$A:$A,0),MATCH(Summary!AN$3,IS!$3:$3,0)),0)</f>
        <v>172493.61041666666</v>
      </c>
      <c r="AO16" s="57">
        <f>IFERROR(INDEX(IS,MATCH($B16,IS!$A:$A,0),MATCH(Summary!AO$3,IS!$3:$3,0)),0)</f>
        <v>172493.61041666666</v>
      </c>
      <c r="AP16" s="57">
        <f>IFERROR(INDEX(IS,MATCH($B16,IS!$A:$A,0),MATCH(Summary!AP$3,IS!$3:$3,0)),0)</f>
        <v>172493.61041666666</v>
      </c>
      <c r="AQ16" s="57">
        <f>IFERROR(INDEX(IS,MATCH($B16,IS!$A:$A,0),MATCH(Summary!AQ$3,IS!$3:$3,0)),0)</f>
        <v>197721.89851562501</v>
      </c>
      <c r="AR16" s="57">
        <f>IFERROR(INDEX(IS,MATCH($B16,IS!$A:$A,0),MATCH(Summary!AR$3,IS!$3:$3,0)),0)</f>
        <v>197721.89851562501</v>
      </c>
      <c r="AS16" s="57">
        <f>IFERROR(INDEX(IS,MATCH($B16,IS!$A:$A,0),MATCH(Summary!AS$3,IS!$3:$3,0)),0)</f>
        <v>197721.89851562501</v>
      </c>
      <c r="AT16" s="57">
        <f>IFERROR(INDEX(IS,MATCH($B16,IS!$A:$A,0),MATCH(Summary!AT$3,IS!$3:$3,0)),0)</f>
        <v>197721.89851562501</v>
      </c>
      <c r="AU16" s="57">
        <f>IFERROR(INDEX(IS,MATCH($B16,IS!$A:$A,0),MATCH(Summary!AU$3,IS!$3:$3,0)),0)</f>
        <v>197721.89851562501</v>
      </c>
      <c r="AV16" s="57">
        <f>IFERROR(INDEX(IS,MATCH($B16,IS!$A:$A,0),MATCH(Summary!AV$3,IS!$3:$3,0)),0)</f>
        <v>197721.89851562501</v>
      </c>
      <c r="AW16" s="57">
        <f>IFERROR(INDEX(IS,MATCH($B16,IS!$A:$A,0),MATCH(Summary!AW$3,IS!$3:$3,0)),0)</f>
        <v>197721.89851562501</v>
      </c>
      <c r="AX16" s="57">
        <f>IFERROR(INDEX(IS,MATCH($B16,IS!$A:$A,0),MATCH(Summary!AX$3,IS!$3:$3,0)),0)</f>
        <v>197721.89851562501</v>
      </c>
      <c r="AY16" s="57">
        <f>IFERROR(INDEX(IS,MATCH($B16,IS!$A:$A,0),MATCH(Summary!AY$3,IS!$3:$3,0)),0)</f>
        <v>197721.89851562501</v>
      </c>
      <c r="AZ16" s="57">
        <f>IFERROR(INDEX(IS,MATCH($B16,IS!$A:$A,0),MATCH(Summary!AZ$3,IS!$3:$3,0)),0)</f>
        <v>197721.89851562501</v>
      </c>
      <c r="BA16" s="57">
        <f>IFERROR(INDEX(IS,MATCH($B16,IS!$A:$A,0),MATCH(Summary!BA$3,IS!$3:$3,0)),0)</f>
        <v>197721.89851562501</v>
      </c>
      <c r="BB16" s="57">
        <f>IFERROR(INDEX(IS,MATCH($B16,IS!$A:$A,0),MATCH(Summary!BB$3,IS!$3:$3,0)),0)</f>
        <v>197721.89851562501</v>
      </c>
      <c r="BC16" s="56"/>
      <c r="BD16" s="56"/>
      <c r="BE16" s="56"/>
      <c r="BF16" s="57"/>
      <c r="BG16" s="57"/>
      <c r="BH16" s="57"/>
    </row>
    <row r="17" spans="1:60" ht="12.75" customHeight="1" x14ac:dyDescent="0.15">
      <c r="A17" s="47" t="s">
        <v>62</v>
      </c>
      <c r="B17" s="54" t="s">
        <v>107</v>
      </c>
      <c r="C17" s="316">
        <f ca="1">IFERROR(INDEX(IS,MATCH($B17,IS!$A:$A,0),MATCH(Summary!C$3,IS!$3:$3,0)),0)</f>
        <v>10000</v>
      </c>
      <c r="D17" s="22">
        <f ca="1">IFERROR(INDEX(IS,MATCH($B17,IS!$A:$A,0),MATCH(Summary!D$3,IS!$3:$3,0)),0)</f>
        <v>285899.375</v>
      </c>
      <c r="E17" s="22">
        <f ca="1">IFERROR(INDEX(IS,MATCH($B17,IS!$A:$A,0),MATCH(Summary!E$3,IS!$3:$3,0)),0)</f>
        <v>598388.6875</v>
      </c>
      <c r="F17" s="22">
        <f ca="1">IFERROR(INDEX(IS,MATCH($B17,IS!$A:$A,0),MATCH(Summary!F$3,IS!$3:$3,0)),0)</f>
        <v>962034.85625000019</v>
      </c>
      <c r="G17" s="22">
        <f>IFERROR(INDEX(IS,MATCH($B17,IS!$A:$A,0),MATCH(Summary!G$3,IS!$3:$3,0)),0)</f>
        <v>833.33333333333337</v>
      </c>
      <c r="H17" s="57">
        <f ca="1">IFERROR(INDEX(IS,MATCH($B17,IS!$A:$A,0),MATCH(Summary!H$3,IS!$3:$3,0)),0)</f>
        <v>833.33333333333337</v>
      </c>
      <c r="I17" s="57">
        <f ca="1">IFERROR(INDEX(IS,MATCH($B17,IS!$A:$A,0),MATCH(Summary!I$3,IS!$3:$3,0)),0)</f>
        <v>833.33333333333337</v>
      </c>
      <c r="J17" s="57">
        <f ca="1">IFERROR(INDEX(IS,MATCH($B17,IS!$A:$A,0),MATCH(Summary!J$3,IS!$3:$3,0)),0)</f>
        <v>833.33333333333337</v>
      </c>
      <c r="K17" s="57">
        <f ca="1">IFERROR(INDEX(IS,MATCH($B17,IS!$A:$A,0),MATCH(Summary!K$3,IS!$3:$3,0)),0)</f>
        <v>833.33333333333337</v>
      </c>
      <c r="L17" s="57">
        <f ca="1">IFERROR(INDEX(IS,MATCH($B17,IS!$A:$A,0),MATCH(Summary!L$3,IS!$3:$3,0)),0)</f>
        <v>833.33333333333337</v>
      </c>
      <c r="M17" s="57">
        <f ca="1">IFERROR(INDEX(IS,MATCH($B17,IS!$A:$A,0),MATCH(Summary!M$3,IS!$3:$3,0)),0)</f>
        <v>833.33333333333337</v>
      </c>
      <c r="N17" s="57">
        <f ca="1">IFERROR(INDEX(IS,MATCH($B17,IS!$A:$A,0),MATCH(Summary!N$3,IS!$3:$3,0)),0)</f>
        <v>833.33333333333337</v>
      </c>
      <c r="O17" s="57">
        <f ca="1">IFERROR(INDEX(IS,MATCH($B17,IS!$A:$A,0),MATCH(Summary!O$3,IS!$3:$3,0)),0)</f>
        <v>833.33333333333337</v>
      </c>
      <c r="P17" s="57">
        <f ca="1">IFERROR(INDEX(IS,MATCH($B17,IS!$A:$A,0),MATCH(Summary!P$3,IS!$3:$3,0)),0)</f>
        <v>833.33333333333337</v>
      </c>
      <c r="Q17" s="57">
        <f ca="1">IFERROR(INDEX(IS,MATCH($B17,IS!$A:$A,0),MATCH(Summary!Q$3,IS!$3:$3,0)),0)</f>
        <v>833.33333333333337</v>
      </c>
      <c r="R17" s="57">
        <f ca="1">IFERROR(INDEX(IS,MATCH($B17,IS!$A:$A,0),MATCH(Summary!R$3,IS!$3:$3,0)),0)</f>
        <v>833.33333333333337</v>
      </c>
      <c r="S17" s="57">
        <f ca="1">IFERROR(INDEX(IS,MATCH($B17,IS!$A:$A,0),MATCH(Summary!S$3,IS!$3:$3,0)),0)</f>
        <v>16438.854166666668</v>
      </c>
      <c r="T17" s="57">
        <f ca="1">IFERROR(INDEX(IS,MATCH($B17,IS!$A:$A,0),MATCH(Summary!T$3,IS!$3:$3,0)),0)</f>
        <v>16438.854166666668</v>
      </c>
      <c r="U17" s="57">
        <f ca="1">IFERROR(INDEX(IS,MATCH($B17,IS!$A:$A,0),MATCH(Summary!U$3,IS!$3:$3,0)),0)</f>
        <v>16438.854166666668</v>
      </c>
      <c r="V17" s="57">
        <f ca="1">IFERROR(INDEX(IS,MATCH($B17,IS!$A:$A,0),MATCH(Summary!V$3,IS!$3:$3,0)),0)</f>
        <v>16438.854166666668</v>
      </c>
      <c r="W17" s="57">
        <f ca="1">IFERROR(INDEX(IS,MATCH($B17,IS!$A:$A,0),MATCH(Summary!W$3,IS!$3:$3,0)),0)</f>
        <v>16438.854166666668</v>
      </c>
      <c r="X17" s="57">
        <f ca="1">IFERROR(INDEX(IS,MATCH($B17,IS!$A:$A,0),MATCH(Summary!X$3,IS!$3:$3,0)),0)</f>
        <v>16438.854166666668</v>
      </c>
      <c r="Y17" s="57">
        <f ca="1">IFERROR(INDEX(IS,MATCH($B17,IS!$A:$A,0),MATCH(Summary!Y$3,IS!$3:$3,0)),0)</f>
        <v>31211.041666666668</v>
      </c>
      <c r="Z17" s="57">
        <f ca="1">IFERROR(INDEX(IS,MATCH($B17,IS!$A:$A,0),MATCH(Summary!Z$3,IS!$3:$3,0)),0)</f>
        <v>31211.041666666668</v>
      </c>
      <c r="AA17" s="57">
        <f ca="1">IFERROR(INDEX(IS,MATCH($B17,IS!$A:$A,0),MATCH(Summary!AA$3,IS!$3:$3,0)),0)</f>
        <v>31211.041666666668</v>
      </c>
      <c r="AB17" s="57">
        <f ca="1">IFERROR(INDEX(IS,MATCH($B17,IS!$A:$A,0),MATCH(Summary!AB$3,IS!$3:$3,0)),0)</f>
        <v>31211.041666666668</v>
      </c>
      <c r="AC17" s="57">
        <f ca="1">IFERROR(INDEX(IS,MATCH($B17,IS!$A:$A,0),MATCH(Summary!AC$3,IS!$3:$3,0)),0)</f>
        <v>31211.041666666668</v>
      </c>
      <c r="AD17" s="57">
        <f ca="1">IFERROR(INDEX(IS,MATCH($B17,IS!$A:$A,0),MATCH(Summary!AD$3,IS!$3:$3,0)),0)</f>
        <v>31211.041666666668</v>
      </c>
      <c r="AE17" s="57">
        <f ca="1">IFERROR(INDEX(IS,MATCH($B17,IS!$A:$A,0),MATCH(Summary!AE$3,IS!$3:$3,0)),0)</f>
        <v>34354.927083333336</v>
      </c>
      <c r="AF17" s="57">
        <f ca="1">IFERROR(INDEX(IS,MATCH($B17,IS!$A:$A,0),MATCH(Summary!AF$3,IS!$3:$3,0)),0)</f>
        <v>34354.927083333336</v>
      </c>
      <c r="AG17" s="57">
        <f ca="1">IFERROR(INDEX(IS,MATCH($B17,IS!$A:$A,0),MATCH(Summary!AG$3,IS!$3:$3,0)),0)</f>
        <v>34354.927083333336</v>
      </c>
      <c r="AH17" s="57">
        <f ca="1">IFERROR(INDEX(IS,MATCH($B17,IS!$A:$A,0),MATCH(Summary!AH$3,IS!$3:$3,0)),0)</f>
        <v>49865.723958333336</v>
      </c>
      <c r="AI17" s="57">
        <f ca="1">IFERROR(INDEX(IS,MATCH($B17,IS!$A:$A,0),MATCH(Summary!AI$3,IS!$3:$3,0)),0)</f>
        <v>49865.723958333336</v>
      </c>
      <c r="AJ17" s="57">
        <f ca="1">IFERROR(INDEX(IS,MATCH($B17,IS!$A:$A,0),MATCH(Summary!AJ$3,IS!$3:$3,0)),0)</f>
        <v>49865.723958333336</v>
      </c>
      <c r="AK17" s="57">
        <f ca="1">IFERROR(INDEX(IS,MATCH($B17,IS!$A:$A,0),MATCH(Summary!AK$3,IS!$3:$3,0)),0)</f>
        <v>49865.723958333336</v>
      </c>
      <c r="AL17" s="57">
        <f ca="1">IFERROR(INDEX(IS,MATCH($B17,IS!$A:$A,0),MATCH(Summary!AL$3,IS!$3:$3,0)),0)</f>
        <v>49865.723958333336</v>
      </c>
      <c r="AM17" s="57">
        <f ca="1">IFERROR(INDEX(IS,MATCH($B17,IS!$A:$A,0),MATCH(Summary!AM$3,IS!$3:$3,0)),0)</f>
        <v>49865.723958333336</v>
      </c>
      <c r="AN17" s="57">
        <f ca="1">IFERROR(INDEX(IS,MATCH($B17,IS!$A:$A,0),MATCH(Summary!AN$3,IS!$3:$3,0)),0)</f>
        <v>65376.520833333336</v>
      </c>
      <c r="AO17" s="57">
        <f ca="1">IFERROR(INDEX(IS,MATCH($B17,IS!$A:$A,0),MATCH(Summary!AO$3,IS!$3:$3,0)),0)</f>
        <v>65376.520833333336</v>
      </c>
      <c r="AP17" s="57">
        <f ca="1">IFERROR(INDEX(IS,MATCH($B17,IS!$A:$A,0),MATCH(Summary!AP$3,IS!$3:$3,0)),0)</f>
        <v>65376.520833333336</v>
      </c>
      <c r="AQ17" s="57">
        <f ca="1">IFERROR(INDEX(IS,MATCH($B17,IS!$A:$A,0),MATCH(Summary!AQ$3,IS!$3:$3,0)),0)</f>
        <v>53025.67682291667</v>
      </c>
      <c r="AR17" s="57">
        <f ca="1">IFERROR(INDEX(IS,MATCH($B17,IS!$A:$A,0),MATCH(Summary!AR$3,IS!$3:$3,0)),0)</f>
        <v>53025.67682291667</v>
      </c>
      <c r="AS17" s="57">
        <f ca="1">IFERROR(INDEX(IS,MATCH($B17,IS!$A:$A,0),MATCH(Summary!AS$3,IS!$3:$3,0)),0)</f>
        <v>69312.013541666674</v>
      </c>
      <c r="AT17" s="57">
        <f ca="1">IFERROR(INDEX(IS,MATCH($B17,IS!$A:$A,0),MATCH(Summary!AT$3,IS!$3:$3,0)),0)</f>
        <v>69312.013541666674</v>
      </c>
      <c r="AU17" s="57">
        <f ca="1">IFERROR(INDEX(IS,MATCH($B17,IS!$A:$A,0),MATCH(Summary!AU$3,IS!$3:$3,0)),0)</f>
        <v>69312.013541666674</v>
      </c>
      <c r="AV17" s="57">
        <f ca="1">IFERROR(INDEX(IS,MATCH($B17,IS!$A:$A,0),MATCH(Summary!AV$3,IS!$3:$3,0)),0)</f>
        <v>85598.350260416686</v>
      </c>
      <c r="AW17" s="57">
        <f ca="1">IFERROR(INDEX(IS,MATCH($B17,IS!$A:$A,0),MATCH(Summary!AW$3,IS!$3:$3,0)),0)</f>
        <v>85598.350260416686</v>
      </c>
      <c r="AX17" s="57">
        <f ca="1">IFERROR(INDEX(IS,MATCH($B17,IS!$A:$A,0),MATCH(Summary!AX$3,IS!$3:$3,0)),0)</f>
        <v>85598.350260416686</v>
      </c>
      <c r="AY17" s="57">
        <f ca="1">IFERROR(INDEX(IS,MATCH($B17,IS!$A:$A,0),MATCH(Summary!AY$3,IS!$3:$3,0)),0)</f>
        <v>85598.350260416686</v>
      </c>
      <c r="AZ17" s="57">
        <f ca="1">IFERROR(INDEX(IS,MATCH($B17,IS!$A:$A,0),MATCH(Summary!AZ$3,IS!$3:$3,0)),0)</f>
        <v>101884.68697916668</v>
      </c>
      <c r="BA17" s="57">
        <f ca="1">IFERROR(INDEX(IS,MATCH($B17,IS!$A:$A,0),MATCH(Summary!BA$3,IS!$3:$3,0)),0)</f>
        <v>101884.68697916668</v>
      </c>
      <c r="BB17" s="57">
        <f ca="1">IFERROR(INDEX(IS,MATCH($B17,IS!$A:$A,0),MATCH(Summary!BB$3,IS!$3:$3,0)),0)</f>
        <v>101884.68697916668</v>
      </c>
      <c r="BC17" s="56"/>
      <c r="BD17" s="56"/>
      <c r="BE17" s="56"/>
      <c r="BF17" s="57"/>
      <c r="BG17" s="57"/>
      <c r="BH17" s="57"/>
    </row>
    <row r="18" spans="1:60" s="41" customFormat="1" ht="12.75" customHeight="1" x14ac:dyDescent="0.15">
      <c r="A18" s="114" t="s">
        <v>63</v>
      </c>
      <c r="B18" s="301" t="s">
        <v>121</v>
      </c>
      <c r="C18" s="319">
        <f ca="1">IFERROR(INDEX(IS,MATCH($B18,IS!$A:$A,0),MATCH(Summary!C$3,IS!$3:$3,0)),0)</f>
        <v>427245.31250000012</v>
      </c>
      <c r="D18" s="71">
        <f ca="1">IFERROR(INDEX(IS,MATCH($B18,IS!$A:$A,0),MATCH(Summary!D$3,IS!$3:$3,0)),0)</f>
        <v>2014877.1076547466</v>
      </c>
      <c r="E18" s="71">
        <f ca="1">IFERROR(INDEX(IS,MATCH($B18,IS!$A:$A,0),MATCH(Summary!E$3,IS!$3:$3,0)),0)</f>
        <v>3410054.5117088701</v>
      </c>
      <c r="F18" s="71">
        <f ca="1">IFERROR(INDEX(IS,MATCH($B18,IS!$A:$A,0),MATCH(Summary!F$3,IS!$3:$3,0)),0)</f>
        <v>3718722.6099124127</v>
      </c>
      <c r="G18" s="71">
        <f ca="1">IFERROR(INDEX(IS,MATCH($B18,IS!$A:$A,0),MATCH(Summary!G$3,IS!$3:$3,0)),0)</f>
        <v>28972.512500000001</v>
      </c>
      <c r="H18" s="73">
        <f ca="1">IFERROR(INDEX(IS,MATCH($B18,IS!$A:$A,0),MATCH(Summary!H$3,IS!$3:$3,0)),0)</f>
        <v>28972.512500000001</v>
      </c>
      <c r="I18" s="73">
        <f ca="1">IFERROR(INDEX(IS,MATCH($B18,IS!$A:$A,0),MATCH(Summary!I$3,IS!$3:$3,0)),0)</f>
        <v>28972.512500000001</v>
      </c>
      <c r="J18" s="73">
        <f ca="1">IFERROR(INDEX(IS,MATCH($B18,IS!$A:$A,0),MATCH(Summary!J$3,IS!$3:$3,0)),0)</f>
        <v>28972.512500000001</v>
      </c>
      <c r="K18" s="73">
        <f ca="1">IFERROR(INDEX(IS,MATCH($B18,IS!$A:$A,0),MATCH(Summary!K$3,IS!$3:$3,0)),0)</f>
        <v>28972.512500000001</v>
      </c>
      <c r="L18" s="73">
        <f ca="1">IFERROR(INDEX(IS,MATCH($B18,IS!$A:$A,0),MATCH(Summary!L$3,IS!$3:$3,0)),0)</f>
        <v>28972.512500000001</v>
      </c>
      <c r="M18" s="73">
        <f ca="1">IFERROR(INDEX(IS,MATCH($B18,IS!$A:$A,0),MATCH(Summary!M$3,IS!$3:$3,0)),0)</f>
        <v>42235.039583333339</v>
      </c>
      <c r="N18" s="73">
        <f ca="1">IFERROR(INDEX(IS,MATCH($B18,IS!$A:$A,0),MATCH(Summary!N$3,IS!$3:$3,0)),0)</f>
        <v>42235.039583333339</v>
      </c>
      <c r="O18" s="73">
        <f ca="1">IFERROR(INDEX(IS,MATCH($B18,IS!$A:$A,0),MATCH(Summary!O$3,IS!$3:$3,0)),0)</f>
        <v>42235.039583333339</v>
      </c>
      <c r="P18" s="73">
        <f ca="1">IFERROR(INDEX(IS,MATCH($B18,IS!$A:$A,0),MATCH(Summary!P$3,IS!$3:$3,0)),0)</f>
        <v>42235.039583333339</v>
      </c>
      <c r="Q18" s="73">
        <f ca="1">IFERROR(INDEX(IS,MATCH($B18,IS!$A:$A,0),MATCH(Summary!Q$3,IS!$3:$3,0)),0)</f>
        <v>42235.039583333339</v>
      </c>
      <c r="R18" s="73">
        <f ca="1">IFERROR(INDEX(IS,MATCH($B18,IS!$A:$A,0),MATCH(Summary!R$3,IS!$3:$3,0)),0)</f>
        <v>42235.039583333339</v>
      </c>
      <c r="S18" s="73">
        <f ca="1">IFERROR(INDEX(IS,MATCH($B18,IS!$A:$A,0),MATCH(Summary!S$3,IS!$3:$3,0)),0)</f>
        <v>163576.71083333332</v>
      </c>
      <c r="T18" s="73">
        <f ca="1">IFERROR(INDEX(IS,MATCH($B18,IS!$A:$A,0),MATCH(Summary!T$3,IS!$3:$3,0)),0)</f>
        <v>163576.71083333332</v>
      </c>
      <c r="U18" s="73">
        <f ca="1">IFERROR(INDEX(IS,MATCH($B18,IS!$A:$A,0),MATCH(Summary!U$3,IS!$3:$3,0)),0)</f>
        <v>163576.71083333332</v>
      </c>
      <c r="V18" s="73">
        <f ca="1">IFERROR(INDEX(IS,MATCH($B18,IS!$A:$A,0),MATCH(Summary!V$3,IS!$3:$3,0)),0)</f>
        <v>165482.48927083332</v>
      </c>
      <c r="W18" s="73">
        <f ca="1">IFERROR(INDEX(IS,MATCH($B18,IS!$A:$A,0),MATCH(Summary!W$3,IS!$3:$3,0)),0)</f>
        <v>165496.86686416759</v>
      </c>
      <c r="X18" s="73">
        <f ca="1">IFERROR(INDEX(IS,MATCH($B18,IS!$A:$A,0),MATCH(Summary!X$3,IS!$3:$3,0)),0)</f>
        <v>165522.0202811778</v>
      </c>
      <c r="Y18" s="73">
        <f ca="1">IFERROR(INDEX(IS,MATCH($B18,IS!$A:$A,0),MATCH(Summary!Y$3,IS!$3:$3,0)),0)</f>
        <v>169404.20088552847</v>
      </c>
      <c r="Z18" s="73">
        <f ca="1">IFERROR(INDEX(IS,MATCH($B18,IS!$A:$A,0),MATCH(Summary!Z$3,IS!$3:$3,0)),0)</f>
        <v>169434.76082951546</v>
      </c>
      <c r="AA18" s="73">
        <f ca="1">IFERROR(INDEX(IS,MATCH($B18,IS!$A:$A,0),MATCH(Summary!AA$3,IS!$3:$3,0)),0)</f>
        <v>169467.14629571131</v>
      </c>
      <c r="AB18" s="73">
        <f ca="1">IFERROR(INDEX(IS,MATCH($B18,IS!$A:$A,0),MATCH(Summary!AB$3,IS!$3:$3,0)),0)</f>
        <v>173092.28667978843</v>
      </c>
      <c r="AC18" s="73">
        <f ca="1">IFERROR(INDEX(IS,MATCH($B18,IS!$A:$A,0),MATCH(Summary!AC$3,IS!$3:$3,0)),0)</f>
        <v>173113.92539862465</v>
      </c>
      <c r="AD18" s="73">
        <f ca="1">IFERROR(INDEX(IS,MATCH($B18,IS!$A:$A,0),MATCH(Summary!AD$3,IS!$3:$3,0)),0)</f>
        <v>173133.27864939941</v>
      </c>
      <c r="AE18" s="73">
        <f ca="1">IFERROR(INDEX(IS,MATCH($B18,IS!$A:$A,0),MATCH(Summary!AE$3,IS!$3:$3,0)),0)</f>
        <v>278802.18715982727</v>
      </c>
      <c r="AF18" s="73">
        <f ca="1">IFERROR(INDEX(IS,MATCH($B18,IS!$A:$A,0),MATCH(Summary!AF$3,IS!$3:$3,0)),0)</f>
        <v>278949.71804076398</v>
      </c>
      <c r="AG18" s="73">
        <f ca="1">IFERROR(INDEX(IS,MATCH($B18,IS!$A:$A,0),MATCH(Summary!AG$3,IS!$3:$3,0)),0)</f>
        <v>279062.09446423821</v>
      </c>
      <c r="AH18" s="73">
        <f ca="1">IFERROR(INDEX(IS,MATCH($B18,IS!$A:$A,0),MATCH(Summary!AH$3,IS!$3:$3,0)),0)</f>
        <v>283045.62992752256</v>
      </c>
      <c r="AI18" s="73">
        <f ca="1">IFERROR(INDEX(IS,MATCH($B18,IS!$A:$A,0),MATCH(Summary!AI$3,IS!$3:$3,0)),0)</f>
        <v>283115.37200444855</v>
      </c>
      <c r="AJ18" s="73">
        <f ca="1">IFERROR(INDEX(IS,MATCH($B18,IS!$A:$A,0),MATCH(Summary!AJ$3,IS!$3:$3,0)),0)</f>
        <v>283172.74279829476</v>
      </c>
      <c r="AK18" s="73">
        <f ca="1">IFERROR(INDEX(IS,MATCH($B18,IS!$A:$A,0),MATCH(Summary!AK$3,IS!$3:$3,0)),0)</f>
        <v>285183.50758412312</v>
      </c>
      <c r="AL18" s="73">
        <f ca="1">IFERROR(INDEX(IS,MATCH($B18,IS!$A:$A,0),MATCH(Summary!AL$3,IS!$3:$3,0)),0)</f>
        <v>285252.69768526457</v>
      </c>
      <c r="AM18" s="73">
        <f ca="1">IFERROR(INDEX(IS,MATCH($B18,IS!$A:$A,0),MATCH(Summary!AM$3,IS!$3:$3,0)),0)</f>
        <v>285310.91616275074</v>
      </c>
      <c r="AN18" s="73">
        <f ca="1">IFERROR(INDEX(IS,MATCH($B18,IS!$A:$A,0),MATCH(Summary!AN$3,IS!$3:$3,0)),0)</f>
        <v>289302.24711188045</v>
      </c>
      <c r="AO18" s="73">
        <f ca="1">IFERROR(INDEX(IS,MATCH($B18,IS!$A:$A,0),MATCH(Summary!AO$3,IS!$3:$3,0)),0)</f>
        <v>289388.52609940071</v>
      </c>
      <c r="AP18" s="73">
        <f ca="1">IFERROR(INDEX(IS,MATCH($B18,IS!$A:$A,0),MATCH(Summary!AP$3,IS!$3:$3,0)),0)</f>
        <v>289468.87267035473</v>
      </c>
      <c r="AQ18" s="73">
        <f ca="1">IFERROR(INDEX(IS,MATCH($B18,IS!$A:$A,0),MATCH(Summary!AQ$3,IS!$3:$3,0)),0)</f>
        <v>302984.26425267715</v>
      </c>
      <c r="AR18" s="73">
        <f ca="1">IFERROR(INDEX(IS,MATCH($B18,IS!$A:$A,0),MATCH(Summary!AR$3,IS!$3:$3,0)),0)</f>
        <v>303450.66705921717</v>
      </c>
      <c r="AS18" s="73">
        <f ca="1">IFERROR(INDEX(IS,MATCH($B18,IS!$A:$A,0),MATCH(Summary!AS$3,IS!$3:$3,0)),0)</f>
        <v>305829.52128415811</v>
      </c>
      <c r="AT18" s="73">
        <f ca="1">IFERROR(INDEX(IS,MATCH($B18,IS!$A:$A,0),MATCH(Summary!AT$3,IS!$3:$3,0)),0)</f>
        <v>307874.07456194237</v>
      </c>
      <c r="AU18" s="73">
        <f ca="1">IFERROR(INDEX(IS,MATCH($B18,IS!$A:$A,0),MATCH(Summary!AU$3,IS!$3:$3,0)),0)</f>
        <v>308164.84090277669</v>
      </c>
      <c r="AV18" s="73">
        <f ca="1">IFERROR(INDEX(IS,MATCH($B18,IS!$A:$A,0),MATCH(Summary!AV$3,IS!$3:$3,0)),0)</f>
        <v>310418.65302545199</v>
      </c>
      <c r="AW18" s="73">
        <f ca="1">IFERROR(INDEX(IS,MATCH($B18,IS!$A:$A,0),MATCH(Summary!AW$3,IS!$3:$3,0)),0)</f>
        <v>310656.19254020695</v>
      </c>
      <c r="AX18" s="73">
        <f ca="1">IFERROR(INDEX(IS,MATCH($B18,IS!$A:$A,0),MATCH(Summary!AX$3,IS!$3:$3,0)),0)</f>
        <v>310877.91386817291</v>
      </c>
      <c r="AY18" s="73">
        <f ca="1">IFERROR(INDEX(IS,MATCH($B18,IS!$A:$A,0),MATCH(Summary!AY$3,IS!$3:$3,0)),0)</f>
        <v>312801.64679796918</v>
      </c>
      <c r="AZ18" s="73">
        <f ca="1">IFERROR(INDEX(IS,MATCH($B18,IS!$A:$A,0),MATCH(Summary!AZ$3,IS!$3:$3,0)),0)</f>
        <v>315006.59123146295</v>
      </c>
      <c r="BA18" s="73">
        <f ca="1">IFERROR(INDEX(IS,MATCH($B18,IS!$A:$A,0),MATCH(Summary!BA$3,IS!$3:$3,0)),0)</f>
        <v>315220.53135455196</v>
      </c>
      <c r="BB18" s="73">
        <f ca="1">IFERROR(INDEX(IS,MATCH($B18,IS!$A:$A,0),MATCH(Summary!BB$3,IS!$3:$3,0)),0)</f>
        <v>315437.71303382498</v>
      </c>
      <c r="BC18" s="72"/>
      <c r="BD18" s="72"/>
      <c r="BE18" s="72"/>
      <c r="BF18" s="113"/>
      <c r="BG18" s="113"/>
      <c r="BH18" s="113"/>
    </row>
    <row r="19" spans="1:60" s="32" customFormat="1" ht="12.75" customHeight="1" x14ac:dyDescent="0.15">
      <c r="A19" s="115" t="s">
        <v>55</v>
      </c>
      <c r="B19" s="75" t="s">
        <v>55</v>
      </c>
      <c r="C19" s="320">
        <f ca="1">IFERROR(INDEX(IS,MATCH($B19,IS!$A:$A,0),MATCH(Summary!C$3,IS!$3:$3,0)),0)</f>
        <v>843939.06250000035</v>
      </c>
      <c r="D19" s="65">
        <f ca="1">IFERROR(INDEX(IS,MATCH($B19,IS!$A:$A,0),MATCH(Summary!D$3,IS!$3:$3,0)),0)</f>
        <v>3392800.4201547457</v>
      </c>
      <c r="E19" s="65">
        <f ca="1">IFERROR(INDEX(IS,MATCH($B19,IS!$A:$A,0),MATCH(Summary!E$3,IS!$3:$3,0)),0)</f>
        <v>5825876.1085838703</v>
      </c>
      <c r="F19" s="65">
        <f ca="1">IFERROR(INDEX(IS,MATCH($B19,IS!$A:$A,0),MATCH(Summary!F$3,IS!$3:$3,0)),0)</f>
        <v>7053420.2483499125</v>
      </c>
      <c r="G19" s="65">
        <f ca="1">IFERROR(INDEX(IS,MATCH($B19,IS!$A:$A,0),MATCH(Summary!G$3,IS!$3:$3,0)),0)</f>
        <v>57335.429166666669</v>
      </c>
      <c r="H19" s="63">
        <f ca="1">IFERROR(INDEX(IS,MATCH($B19,IS!$A:$A,0),MATCH(Summary!H$3,IS!$3:$3,0)),0)</f>
        <v>57335.429166666669</v>
      </c>
      <c r="I19" s="63">
        <f ca="1">IFERROR(INDEX(IS,MATCH($B19,IS!$A:$A,0),MATCH(Summary!I$3,IS!$3:$3,0)),0)</f>
        <v>57335.429166666669</v>
      </c>
      <c r="J19" s="63">
        <f ca="1">IFERROR(INDEX(IS,MATCH($B19,IS!$A:$A,0),MATCH(Summary!J$3,IS!$3:$3,0)),0)</f>
        <v>57335.429166666669</v>
      </c>
      <c r="K19" s="63">
        <f ca="1">IFERROR(INDEX(IS,MATCH($B19,IS!$A:$A,0),MATCH(Summary!K$3,IS!$3:$3,0)),0)</f>
        <v>57335.429166666669</v>
      </c>
      <c r="L19" s="63">
        <f ca="1">IFERROR(INDEX(IS,MATCH($B19,IS!$A:$A,0),MATCH(Summary!L$3,IS!$3:$3,0)),0)</f>
        <v>57335.429166666669</v>
      </c>
      <c r="M19" s="63">
        <f ca="1">IFERROR(INDEX(IS,MATCH($B19,IS!$A:$A,0),MATCH(Summary!M$3,IS!$3:$3,0)),0)</f>
        <v>83321.081250000017</v>
      </c>
      <c r="N19" s="63">
        <f ca="1">IFERROR(INDEX(IS,MATCH($B19,IS!$A:$A,0),MATCH(Summary!N$3,IS!$3:$3,0)),0)</f>
        <v>83321.081250000017</v>
      </c>
      <c r="O19" s="63">
        <f ca="1">IFERROR(INDEX(IS,MATCH($B19,IS!$A:$A,0),MATCH(Summary!O$3,IS!$3:$3,0)),0)</f>
        <v>83321.081250000017</v>
      </c>
      <c r="P19" s="63">
        <f ca="1">IFERROR(INDEX(IS,MATCH($B19,IS!$A:$A,0),MATCH(Summary!P$3,IS!$3:$3,0)),0)</f>
        <v>83321.081250000017</v>
      </c>
      <c r="Q19" s="63">
        <f ca="1">IFERROR(INDEX(IS,MATCH($B19,IS!$A:$A,0),MATCH(Summary!Q$3,IS!$3:$3,0)),0)</f>
        <v>83321.081250000017</v>
      </c>
      <c r="R19" s="63">
        <f ca="1">IFERROR(INDEX(IS,MATCH($B19,IS!$A:$A,0),MATCH(Summary!R$3,IS!$3:$3,0)),0)</f>
        <v>83321.081250000017</v>
      </c>
      <c r="S19" s="63">
        <f ca="1">IFERROR(INDEX(IS,MATCH($B19,IS!$A:$A,0),MATCH(Summary!S$3,IS!$3:$3,0)),0)</f>
        <v>250978.63791666666</v>
      </c>
      <c r="T19" s="63">
        <f ca="1">IFERROR(INDEX(IS,MATCH($B19,IS!$A:$A,0),MATCH(Summary!T$3,IS!$3:$3,0)),0)</f>
        <v>250978.63791666666</v>
      </c>
      <c r="U19" s="63">
        <f ca="1">IFERROR(INDEX(IS,MATCH($B19,IS!$A:$A,0),MATCH(Summary!U$3,IS!$3:$3,0)),0)</f>
        <v>250978.63791666666</v>
      </c>
      <c r="V19" s="63">
        <f ca="1">IFERROR(INDEX(IS,MATCH($B19,IS!$A:$A,0),MATCH(Summary!V$3,IS!$3:$3,0)),0)</f>
        <v>266243.69760416669</v>
      </c>
      <c r="W19" s="63">
        <f ca="1">IFERROR(INDEX(IS,MATCH($B19,IS!$A:$A,0),MATCH(Summary!W$3,IS!$3:$3,0)),0)</f>
        <v>266258.07519750093</v>
      </c>
      <c r="X19" s="63">
        <f ca="1">IFERROR(INDEX(IS,MATCH($B19,IS!$A:$A,0),MATCH(Summary!X$3,IS!$3:$3,0)),0)</f>
        <v>266283.22861451114</v>
      </c>
      <c r="Y19" s="63">
        <f ca="1">IFERROR(INDEX(IS,MATCH($B19,IS!$A:$A,0),MATCH(Summary!Y$3,IS!$3:$3,0)),0)</f>
        <v>298296.87796886184</v>
      </c>
      <c r="Z19" s="63">
        <f ca="1">IFERROR(INDEX(IS,MATCH($B19,IS!$A:$A,0),MATCH(Summary!Z$3,IS!$3:$3,0)),0)</f>
        <v>298327.43791284878</v>
      </c>
      <c r="AA19" s="63">
        <f ca="1">IFERROR(INDEX(IS,MATCH($B19,IS!$A:$A,0),MATCH(Summary!AA$3,IS!$3:$3,0)),0)</f>
        <v>298359.82337904465</v>
      </c>
      <c r="AB19" s="63">
        <f ca="1">IFERROR(INDEX(IS,MATCH($B19,IS!$A:$A,0),MATCH(Summary!AB$3,IS!$3:$3,0)),0)</f>
        <v>315344.24501312175</v>
      </c>
      <c r="AC19" s="63">
        <f ca="1">IFERROR(INDEX(IS,MATCH($B19,IS!$A:$A,0),MATCH(Summary!AC$3,IS!$3:$3,0)),0)</f>
        <v>315365.88373195799</v>
      </c>
      <c r="AD19" s="63">
        <f ca="1">IFERROR(INDEX(IS,MATCH($B19,IS!$A:$A,0),MATCH(Summary!AD$3,IS!$3:$3,0)),0)</f>
        <v>315385.23698273278</v>
      </c>
      <c r="AE19" s="63">
        <f ca="1">IFERROR(INDEX(IS,MATCH($B19,IS!$A:$A,0),MATCH(Summary!AE$3,IS!$3:$3,0)),0)</f>
        <v>443568.98872232728</v>
      </c>
      <c r="AF19" s="63">
        <f ca="1">IFERROR(INDEX(IS,MATCH($B19,IS!$A:$A,0),MATCH(Summary!AF$3,IS!$3:$3,0)),0)</f>
        <v>443716.51960326399</v>
      </c>
      <c r="AG19" s="63">
        <f ca="1">IFERROR(INDEX(IS,MATCH($B19,IS!$A:$A,0),MATCH(Summary!AG$3,IS!$3:$3,0)),0)</f>
        <v>443828.89602673822</v>
      </c>
      <c r="AH19" s="63">
        <f ca="1">IFERROR(INDEX(IS,MATCH($B19,IS!$A:$A,0),MATCH(Summary!AH$3,IS!$3:$3,0)),0)</f>
        <v>477350.47367752256</v>
      </c>
      <c r="AI19" s="63">
        <f ca="1">IFERROR(INDEX(IS,MATCH($B19,IS!$A:$A,0),MATCH(Summary!AI$3,IS!$3:$3,0)),0)</f>
        <v>477420.21575444855</v>
      </c>
      <c r="AJ19" s="63">
        <f ca="1">IFERROR(INDEX(IS,MATCH($B19,IS!$A:$A,0),MATCH(Summary!AJ$3,IS!$3:$3,0)),0)</f>
        <v>477477.58654829476</v>
      </c>
      <c r="AK19" s="63">
        <f ca="1">IFERROR(INDEX(IS,MATCH($B19,IS!$A:$A,0),MATCH(Summary!AK$3,IS!$3:$3,0)),0)</f>
        <v>493515.5966466231</v>
      </c>
      <c r="AL19" s="63">
        <f ca="1">IFERROR(INDEX(IS,MATCH($B19,IS!$A:$A,0),MATCH(Summary!AL$3,IS!$3:$3,0)),0)</f>
        <v>493584.78674776456</v>
      </c>
      <c r="AM19" s="63">
        <f ca="1">IFERROR(INDEX(IS,MATCH($B19,IS!$A:$A,0),MATCH(Summary!AM$3,IS!$3:$3,0)),0)</f>
        <v>493643.00522525073</v>
      </c>
      <c r="AN19" s="63">
        <f ca="1">IFERROR(INDEX(IS,MATCH($B19,IS!$A:$A,0),MATCH(Summary!AN$3,IS!$3:$3,0)),0)</f>
        <v>527172.37836188043</v>
      </c>
      <c r="AO19" s="63">
        <f ca="1">IFERROR(INDEX(IS,MATCH($B19,IS!$A:$A,0),MATCH(Summary!AO$3,IS!$3:$3,0)),0)</f>
        <v>527258.65734940069</v>
      </c>
      <c r="AP19" s="63">
        <f ca="1">IFERROR(INDEX(IS,MATCH($B19,IS!$A:$A,0),MATCH(Summary!AP$3,IS!$3:$3,0)),0)</f>
        <v>527339.00392035476</v>
      </c>
      <c r="AQ19" s="63">
        <f ca="1">IFERROR(INDEX(IS,MATCH($B19,IS!$A:$A,0),MATCH(Summary!AQ$3,IS!$3:$3,0)),0)</f>
        <v>553731.83959121886</v>
      </c>
      <c r="AR19" s="63">
        <f ca="1">IFERROR(INDEX(IS,MATCH($B19,IS!$A:$A,0),MATCH(Summary!AR$3,IS!$3:$3,0)),0)</f>
        <v>554198.24239775888</v>
      </c>
      <c r="AS19" s="63">
        <f ca="1">IFERROR(INDEX(IS,MATCH($B19,IS!$A:$A,0),MATCH(Summary!AS$3,IS!$3:$3,0)),0)</f>
        <v>572863.43334144983</v>
      </c>
      <c r="AT19" s="63">
        <f ca="1">IFERROR(INDEX(IS,MATCH($B19,IS!$A:$A,0),MATCH(Summary!AT$3,IS!$3:$3,0)),0)</f>
        <v>574907.98661923409</v>
      </c>
      <c r="AU19" s="63">
        <f ca="1">IFERROR(INDEX(IS,MATCH($B19,IS!$A:$A,0),MATCH(Summary!AU$3,IS!$3:$3,0)),0)</f>
        <v>575198.75296006841</v>
      </c>
      <c r="AV19" s="63">
        <f ca="1">IFERROR(INDEX(IS,MATCH($B19,IS!$A:$A,0),MATCH(Summary!AV$3,IS!$3:$3,0)),0)</f>
        <v>593738.90180149372</v>
      </c>
      <c r="AW19" s="63">
        <f ca="1">IFERROR(INDEX(IS,MATCH($B19,IS!$A:$A,0),MATCH(Summary!AW$3,IS!$3:$3,0)),0)</f>
        <v>593976.44131624862</v>
      </c>
      <c r="AX19" s="63">
        <f ca="1">IFERROR(INDEX(IS,MATCH($B19,IS!$A:$A,0),MATCH(Summary!AX$3,IS!$3:$3,0)),0)</f>
        <v>594198.16264421458</v>
      </c>
      <c r="AY19" s="63">
        <f ca="1">IFERROR(INDEX(IS,MATCH($B19,IS!$A:$A,0),MATCH(Summary!AY$3,IS!$3:$3,0)),0)</f>
        <v>596121.89557401091</v>
      </c>
      <c r="AZ19" s="63">
        <f ca="1">IFERROR(INDEX(IS,MATCH($B19,IS!$A:$A,0),MATCH(Summary!AZ$3,IS!$3:$3,0)),0)</f>
        <v>614613.17672625463</v>
      </c>
      <c r="BA19" s="63">
        <f ca="1">IFERROR(INDEX(IS,MATCH($B19,IS!$A:$A,0),MATCH(Summary!BA$3,IS!$3:$3,0)),0)</f>
        <v>614827.11684934364</v>
      </c>
      <c r="BB19" s="63">
        <f ca="1">IFERROR(INDEX(IS,MATCH($B19,IS!$A:$A,0),MATCH(Summary!BB$3,IS!$3:$3,0)),0)</f>
        <v>615044.29852861667</v>
      </c>
      <c r="BC19" s="62"/>
      <c r="BD19" s="62"/>
      <c r="BE19" s="62"/>
      <c r="BF19" s="63"/>
      <c r="BG19" s="63"/>
      <c r="BH19" s="63"/>
    </row>
    <row r="20" spans="1:60" s="209" customFormat="1" ht="12.75" customHeight="1" x14ac:dyDescent="0.15">
      <c r="A20" s="208" t="s">
        <v>4</v>
      </c>
      <c r="B20" s="208" t="s">
        <v>47</v>
      </c>
      <c r="C20" s="327">
        <f ca="1">IFERROR(INDEX(IS,MATCH($B20,IS!$A:$A,0),MATCH(Summary!C$3,IS!$3:$3,0)),0)</f>
        <v>-810106.07753936737</v>
      </c>
      <c r="D20" s="328">
        <f ca="1">IFERROR(INDEX(IS,MATCH($B20,IS!$A:$A,0),MATCH(Summary!D$3,IS!$3:$3,0)),0)</f>
        <v>-2455577.3675402552</v>
      </c>
      <c r="E20" s="328">
        <f ca="1">IFERROR(INDEX(IS,MATCH($B20,IS!$A:$A,0),MATCH(Summary!E$3,IS!$3:$3,0)),0)</f>
        <v>-3063713.1506034886</v>
      </c>
      <c r="F20" s="328">
        <f ca="1">IFERROR(INDEX(IS,MATCH($B20,IS!$A:$A,0),MATCH(Summary!F$3,IS!$3:$3,0)),0)</f>
        <v>1690444.4940084084</v>
      </c>
      <c r="G20" s="328">
        <f ca="1">IFERROR(INDEX(IS,MATCH($B20,IS!$A:$A,0),MATCH(Summary!G$3,IS!$3:$3,0)),0)</f>
        <v>-60361.549166666671</v>
      </c>
      <c r="H20" s="329">
        <f ca="1">IFERROR(INDEX(IS,MATCH($B20,IS!$A:$A,0),MATCH(Summary!H$3,IS!$3:$3,0)),0)</f>
        <v>-59850.554750783842</v>
      </c>
      <c r="I20" s="329">
        <f ca="1">IFERROR(INDEX(IS,MATCH($B20,IS!$A:$A,0),MATCH(Summary!I$3,IS!$3:$3,0)),0)</f>
        <v>-59586.281324610965</v>
      </c>
      <c r="J20" s="329">
        <f ca="1">IFERROR(INDEX(IS,MATCH($B20,IS!$A:$A,0),MATCH(Summary!J$3,IS!$3:$3,0)),0)</f>
        <v>-59116.608632839918</v>
      </c>
      <c r="K20" s="329">
        <f ca="1">IFERROR(INDEX(IS,MATCH($B20,IS!$A:$A,0),MATCH(Summary!K$3,IS!$3:$3,0)),0)</f>
        <v>-58865.773822991629</v>
      </c>
      <c r="L20" s="329">
        <f ca="1">IFERROR(INDEX(IS,MATCH($B20,IS!$A:$A,0),MATCH(Summary!L$3,IS!$3:$3,0)),0)</f>
        <v>-58723.816238296706</v>
      </c>
      <c r="M20" s="329">
        <f ca="1">IFERROR(INDEX(IS,MATCH($B20,IS!$A:$A,0),MATCH(Summary!M$3,IS!$3:$3,0)),0)</f>
        <v>-81700.037116764797</v>
      </c>
      <c r="N20" s="329">
        <f ca="1">IFERROR(INDEX(IS,MATCH($B20,IS!$A:$A,0),MATCH(Summary!N$3,IS!$3:$3,0)),0)</f>
        <v>-78535.026483374779</v>
      </c>
      <c r="O20" s="329">
        <f ca="1">IFERROR(INDEX(IS,MATCH($B20,IS!$A:$A,0),MATCH(Summary!O$3,IS!$3:$3,0)),0)</f>
        <v>-75276.823831930349</v>
      </c>
      <c r="P20" s="329">
        <f ca="1">IFERROR(INDEX(IS,MATCH($B20,IS!$A:$A,0),MATCH(Summary!P$3,IS!$3:$3,0)),0)</f>
        <v>-73579.473816523823</v>
      </c>
      <c r="Q20" s="329">
        <f ca="1">IFERROR(INDEX(IS,MATCH($B20,IS!$A:$A,0),MATCH(Summary!Q$3,IS!$3:$3,0)),0)</f>
        <v>-72581.883287397446</v>
      </c>
      <c r="R20" s="329">
        <f ca="1">IFERROR(INDEX(IS,MATCH($B20,IS!$A:$A,0),MATCH(Summary!R$3,IS!$3:$3,0)),0)</f>
        <v>-71928.249067186538</v>
      </c>
      <c r="S20" s="329">
        <f ca="1">IFERROR(INDEX(IS,MATCH($B20,IS!$A:$A,0),MATCH(Summary!S$3,IS!$3:$3,0)),0)</f>
        <v>-216934.86984198084</v>
      </c>
      <c r="T20" s="329">
        <f ca="1">IFERROR(INDEX(IS,MATCH($B20,IS!$A:$A,0),MATCH(Summary!T$3,IS!$3:$3,0)),0)</f>
        <v>-200046.63733978043</v>
      </c>
      <c r="U20" s="329">
        <f ca="1">IFERROR(INDEX(IS,MATCH($B20,IS!$A:$A,0),MATCH(Summary!U$3,IS!$3:$3,0)),0)</f>
        <v>-186929.80383005965</v>
      </c>
      <c r="V20" s="329">
        <f ca="1">IFERROR(INDEX(IS,MATCH($B20,IS!$A:$A,0),MATCH(Summary!V$3,IS!$3:$3,0)),0)</f>
        <v>-193132.53365193488</v>
      </c>
      <c r="W20" s="329">
        <f ca="1">IFERROR(INDEX(IS,MATCH($B20,IS!$A:$A,0),MATCH(Summary!W$3,IS!$3:$3,0)),0)</f>
        <v>-186635.48875732359</v>
      </c>
      <c r="X20" s="329">
        <f ca="1">IFERROR(INDEX(IS,MATCH($B20,IS!$A:$A,0),MATCH(Summary!X$3,IS!$3:$3,0)),0)</f>
        <v>-181780.87927435117</v>
      </c>
      <c r="Y20" s="329">
        <f ca="1">IFERROR(INDEX(IS,MATCH($B20,IS!$A:$A,0),MATCH(Summary!Y$3,IS!$3:$3,0)),0)</f>
        <v>-208316.63950967247</v>
      </c>
      <c r="Z20" s="329">
        <f ca="1">IFERROR(INDEX(IS,MATCH($B20,IS!$A:$A,0),MATCH(Summary!Z$3,IS!$3:$3,0)),0)</f>
        <v>-212431.99735804985</v>
      </c>
      <c r="AA20" s="329">
        <f ca="1">IFERROR(INDEX(IS,MATCH($B20,IS!$A:$A,0),MATCH(Summary!AA$3,IS!$3:$3,0)),0)</f>
        <v>-206394.96042769466</v>
      </c>
      <c r="AB20" s="329">
        <f ca="1">IFERROR(INDEX(IS,MATCH($B20,IS!$A:$A,0),MATCH(Summary!AB$3,IS!$3:$3,0)),0)</f>
        <v>-224888.28525836629</v>
      </c>
      <c r="AC20" s="329">
        <f ca="1">IFERROR(INDEX(IS,MATCH($B20,IS!$A:$A,0),MATCH(Summary!AC$3,IS!$3:$3,0)),0)</f>
        <v>-220849.53657956101</v>
      </c>
      <c r="AD20" s="329">
        <f ca="1">IFERROR(INDEX(IS,MATCH($B20,IS!$A:$A,0),MATCH(Summary!AD$3,IS!$3:$3,0)),0)</f>
        <v>-217235.73571147994</v>
      </c>
      <c r="AE20" s="329">
        <f ca="1">IFERROR(INDEX(IS,MATCH($B20,IS!$A:$A,0),MATCH(Summary!AE$3,IS!$3:$3,0)),0)</f>
        <v>-308909.28824171028</v>
      </c>
      <c r="AF20" s="329">
        <f ca="1">IFERROR(INDEX(IS,MATCH($B20,IS!$A:$A,0),MATCH(Summary!AF$3,IS!$3:$3,0)),0)</f>
        <v>-281445.75963368441</v>
      </c>
      <c r="AG20" s="329">
        <f ca="1">IFERROR(INDEX(IS,MATCH($B20,IS!$A:$A,0),MATCH(Summary!AG$3,IS!$3:$3,0)),0)</f>
        <v>-260518.39995353814</v>
      </c>
      <c r="AH20" s="329">
        <f ca="1">IFERROR(INDEX(IS,MATCH($B20,IS!$A:$A,0),MATCH(Summary!AH$3,IS!$3:$3,0)),0)</f>
        <v>-277670.11445835454</v>
      </c>
      <c r="AI20" s="329">
        <f ca="1">IFERROR(INDEX(IS,MATCH($B20,IS!$A:$A,0),MATCH(Summary!AI$3,IS!$3:$3,0)),0)</f>
        <v>-264669.68072443281</v>
      </c>
      <c r="AJ20" s="329">
        <f ca="1">IFERROR(INDEX(IS,MATCH($B20,IS!$A:$A,0),MATCH(Summary!AJ$3,IS!$3:$3,0)),0)</f>
        <v>-253969.43716708274</v>
      </c>
      <c r="AK20" s="329">
        <f ca="1">IFERROR(INDEX(IS,MATCH($B20,IS!$A:$A,0),MATCH(Summary!AK$3,IS!$3:$3,0)),0)</f>
        <v>-254091.40655670897</v>
      </c>
      <c r="AL20" s="329">
        <f ca="1">IFERROR(INDEX(IS,MATCH($B20,IS!$A:$A,0),MATCH(Summary!AL$3,IS!$3:$3,0)),0)</f>
        <v>-241190.07173762919</v>
      </c>
      <c r="AM20" s="329">
        <f ca="1">IFERROR(INDEX(IS,MATCH($B20,IS!$A:$A,0),MATCH(Summary!AM$3,IS!$3:$3,0)),0)</f>
        <v>-230328.70811019966</v>
      </c>
      <c r="AN20" s="329">
        <f ca="1">IFERROR(INDEX(IS,MATCH($B20,IS!$A:$A,0),MATCH(Summary!AN$3,IS!$3:$3,0)),0)</f>
        <v>-246023.14479032962</v>
      </c>
      <c r="AO20" s="329">
        <f ca="1">IFERROR(INDEX(IS,MATCH($B20,IS!$A:$A,0),MATCH(Summary!AO$3,IS!$3:$3,0)),0)</f>
        <v>-229939.35510696442</v>
      </c>
      <c r="AP20" s="329">
        <f ca="1">IFERROR(INDEX(IS,MATCH($B20,IS!$A:$A,0),MATCH(Summary!AP$3,IS!$3:$3,0)),0)</f>
        <v>-214957.78412285412</v>
      </c>
      <c r="AQ20" s="329">
        <f ca="1">IFERROR(INDEX(IS,MATCH($B20,IS!$A:$A,0),MATCH(Summary!AQ$3,IS!$3:$3,0)),0)</f>
        <v>-141661.95282624959</v>
      </c>
      <c r="AR20" s="329">
        <f ca="1">IFERROR(INDEX(IS,MATCH($B20,IS!$A:$A,0),MATCH(Summary!AR$3,IS!$3:$3,0)),0)</f>
        <v>-54847.386576406308</v>
      </c>
      <c r="AS20" s="329">
        <f ca="1">IFERROR(INDEX(IS,MATCH($B20,IS!$A:$A,0),MATCH(Summary!AS$3,IS!$3:$3,0)),0)</f>
        <v>-1395.3470359024359</v>
      </c>
      <c r="AT20" s="329">
        <f ca="1">IFERROR(INDEX(IS,MATCH($B20,IS!$A:$A,0),MATCH(Summary!AT$3,IS!$3:$3,0)),0)</f>
        <v>51663.74695001496</v>
      </c>
      <c r="AU20" s="329">
        <f ca="1">IFERROR(INDEX(IS,MATCH($B20,IS!$A:$A,0),MATCH(Summary!AU$3,IS!$3:$3,0)),0)</f>
        <v>105832.79256093374</v>
      </c>
      <c r="AV20" s="329">
        <f ca="1">IFERROR(INDEX(IS,MATCH($B20,IS!$A:$A,0),MATCH(Summary!AV$3,IS!$3:$3,0)),0)</f>
        <v>136045.81113748008</v>
      </c>
      <c r="AW20" s="329">
        <f ca="1">IFERROR(INDEX(IS,MATCH($B20,IS!$A:$A,0),MATCH(Summary!AW$3,IS!$3:$3,0)),0)</f>
        <v>180324.147897791</v>
      </c>
      <c r="AX20" s="329">
        <f ca="1">IFERROR(INDEX(IS,MATCH($B20,IS!$A:$A,0),MATCH(Summary!AX$3,IS!$3:$3,0)),0)</f>
        <v>221664.03067297942</v>
      </c>
      <c r="AY20" s="329">
        <f ca="1">IFERROR(INDEX(IS,MATCH($B20,IS!$A:$A,0),MATCH(Summary!AY$3,IS!$3:$3,0)),0)</f>
        <v>252273.1757010509</v>
      </c>
      <c r="AZ20" s="329">
        <f ca="1">IFERROR(INDEX(IS,MATCH($B20,IS!$A:$A,0),MATCH(Summary!AZ$3,IS!$3:$3,0)),0)</f>
        <v>273411.23514625255</v>
      </c>
      <c r="BA20" s="329">
        <f ca="1">IFERROR(INDEX(IS,MATCH($B20,IS!$A:$A,0),MATCH(Summary!BA$3,IS!$3:$3,0)),0)</f>
        <v>313313.1997917589</v>
      </c>
      <c r="BB20" s="329">
        <f ca="1">IFERROR(INDEX(IS,MATCH($B20,IS!$A:$A,0),MATCH(Summary!BB$3,IS!$3:$3,0)),0)</f>
        <v>353821.04058870522</v>
      </c>
      <c r="BC20" s="329"/>
      <c r="BD20" s="329"/>
      <c r="BE20" s="329"/>
      <c r="BF20" s="329"/>
      <c r="BG20" s="329"/>
      <c r="BH20" s="329"/>
    </row>
    <row r="21" spans="1:60" s="74" customFormat="1" ht="12.75" customHeight="1" x14ac:dyDescent="0.15">
      <c r="A21" s="70"/>
      <c r="B21" s="70"/>
      <c r="C21" s="305"/>
      <c r="D21" s="71"/>
      <c r="E21" s="71"/>
      <c r="F21" s="71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3"/>
      <c r="BG21" s="73"/>
      <c r="BH21" s="73"/>
    </row>
    <row r="22" spans="1:60" s="67" customFormat="1" ht="12.75" customHeight="1" x14ac:dyDescent="0.15">
      <c r="A22" s="67" t="s">
        <v>220</v>
      </c>
      <c r="B22" s="67" t="s">
        <v>221</v>
      </c>
      <c r="C22" s="318">
        <f ca="1">IFERROR(INDEX(IS,MATCH($B22,IS!$A:$A,0),MATCH(Summary!C$3,IS!$3:$3,0)),0)</f>
        <v>-264037.12713877863</v>
      </c>
      <c r="D22" s="66">
        <f ca="1">IFERROR(INDEX(IS,MATCH($B22,IS!$A:$A,0),MATCH(Summary!D$3,IS!$3:$3,0)),0)</f>
        <v>-839952.07863908925</v>
      </c>
      <c r="E22" s="66">
        <f ca="1">IFERROR(INDEX(IS,MATCH($B22,IS!$A:$A,0),MATCH(Summary!E$3,IS!$3:$3,0)),0)</f>
        <v>-1052799.6027112212</v>
      </c>
      <c r="F22" s="66">
        <f ca="1">IFERROR(INDEX(IS,MATCH($B22,IS!$A:$A,0),MATCH(Summary!F$3,IS!$3:$3,0)),0)</f>
        <v>611155.57290294289</v>
      </c>
      <c r="G22" s="66">
        <f ca="1">IFERROR(INDEX(IS,MATCH($B22,IS!$A:$A,0),MATCH(Summary!G$3,IS!$3:$3,0)),0)</f>
        <v>-19501.542208333332</v>
      </c>
      <c r="H22" s="66">
        <f ca="1">IFERROR(INDEX(IS,MATCH($B22,IS!$A:$A,0),MATCH(Summary!H$3,IS!$3:$3,0)),0)</f>
        <v>-19322.694162774344</v>
      </c>
      <c r="I22" s="66">
        <f ca="1">IFERROR(INDEX(IS,MATCH($B22,IS!$A:$A,0),MATCH(Summary!I$3,IS!$3:$3,0)),0)</f>
        <v>-19230.198463613837</v>
      </c>
      <c r="J22" s="66">
        <f ca="1">IFERROR(INDEX(IS,MATCH($B22,IS!$A:$A,0),MATCH(Summary!J$3,IS!$3:$3,0)),0)</f>
        <v>-19065.81302149397</v>
      </c>
      <c r="K22" s="66">
        <f ca="1">IFERROR(INDEX(IS,MATCH($B22,IS!$A:$A,0),MATCH(Summary!K$3,IS!$3:$3,0)),0)</f>
        <v>-18978.020838047069</v>
      </c>
      <c r="L22" s="66">
        <f ca="1">IFERROR(INDEX(IS,MATCH($B22,IS!$A:$A,0),MATCH(Summary!L$3,IS!$3:$3,0)),0)</f>
        <v>-18928.335683403846</v>
      </c>
      <c r="M22" s="66">
        <f ca="1">IFERROR(INDEX(IS,MATCH($B22,IS!$A:$A,0),MATCH(Summary!M$3,IS!$3:$3,0)),0)</f>
        <v>-26970.012990867675</v>
      </c>
      <c r="N22" s="66">
        <f ca="1">IFERROR(INDEX(IS,MATCH($B22,IS!$A:$A,0),MATCH(Summary!N$3,IS!$3:$3,0)),0)</f>
        <v>-25862.25926918117</v>
      </c>
      <c r="O22" s="66">
        <f ca="1">IFERROR(INDEX(IS,MATCH($B22,IS!$A:$A,0),MATCH(Summary!O$3,IS!$3:$3,0)),0)</f>
        <v>-24721.888341175621</v>
      </c>
      <c r="P22" s="66">
        <f ca="1">IFERROR(INDEX(IS,MATCH($B22,IS!$A:$A,0),MATCH(Summary!P$3,IS!$3:$3,0)),0)</f>
        <v>-24127.815835783338</v>
      </c>
      <c r="Q22" s="66">
        <f ca="1">IFERROR(INDEX(IS,MATCH($B22,IS!$A:$A,0),MATCH(Summary!Q$3,IS!$3:$3,0)),0)</f>
        <v>-23778.659150589105</v>
      </c>
      <c r="R22" s="66">
        <f ca="1">IFERROR(INDEX(IS,MATCH($B22,IS!$A:$A,0),MATCH(Summary!R$3,IS!$3:$3,0)),0)</f>
        <v>-23549.887173515286</v>
      </c>
      <c r="S22" s="66">
        <f ca="1">IFERROR(INDEX(IS,MATCH($B22,IS!$A:$A,0),MATCH(Summary!S$3,IS!$3:$3,0)),0)</f>
        <v>-74302.204444693285</v>
      </c>
      <c r="T22" s="66">
        <f ca="1">IFERROR(INDEX(IS,MATCH($B22,IS!$A:$A,0),MATCH(Summary!T$3,IS!$3:$3,0)),0)</f>
        <v>-68391.323068923142</v>
      </c>
      <c r="U22" s="66">
        <f ca="1">IFERROR(INDEX(IS,MATCH($B22,IS!$A:$A,0),MATCH(Summary!U$3,IS!$3:$3,0)),0)</f>
        <v>-63800.431340520881</v>
      </c>
      <c r="V22" s="66">
        <f ca="1">IFERROR(INDEX(IS,MATCH($B22,IS!$A:$A,0),MATCH(Summary!V$3,IS!$3:$3,0)),0)</f>
        <v>-65971.386778177199</v>
      </c>
      <c r="W22" s="66">
        <f ca="1">IFERROR(INDEX(IS,MATCH($B22,IS!$A:$A,0),MATCH(Summary!W$3,IS!$3:$3,0)),0)</f>
        <v>-63697.421065063259</v>
      </c>
      <c r="X22" s="66">
        <f ca="1">IFERROR(INDEX(IS,MATCH($B22,IS!$A:$A,0),MATCH(Summary!X$3,IS!$3:$3,0)),0)</f>
        <v>-61998.307746022903</v>
      </c>
      <c r="Y22" s="66">
        <f ca="1">IFERROR(INDEX(IS,MATCH($B22,IS!$A:$A,0),MATCH(Summary!Y$3,IS!$3:$3,0)),0)</f>
        <v>-71285.823828385357</v>
      </c>
      <c r="Z22" s="66">
        <f ca="1">IFERROR(INDEX(IS,MATCH($B22,IS!$A:$A,0),MATCH(Summary!Z$3,IS!$3:$3,0)),0)</f>
        <v>-72726.199075317447</v>
      </c>
      <c r="AA22" s="66">
        <f ca="1">IFERROR(INDEX(IS,MATCH($B22,IS!$A:$A,0),MATCH(Summary!AA$3,IS!$3:$3,0)),0)</f>
        <v>-70613.236149693126</v>
      </c>
      <c r="AB22" s="66">
        <f ca="1">IFERROR(INDEX(IS,MATCH($B22,IS!$A:$A,0),MATCH(Summary!AB$3,IS!$3:$3,0)),0)</f>
        <v>-77085.899840428203</v>
      </c>
      <c r="AC22" s="66">
        <f ca="1">IFERROR(INDEX(IS,MATCH($B22,IS!$A:$A,0),MATCH(Summary!AC$3,IS!$3:$3,0)),0)</f>
        <v>-75672.337802846348</v>
      </c>
      <c r="AD22" s="66">
        <f ca="1">IFERROR(INDEX(IS,MATCH($B22,IS!$A:$A,0),MATCH(Summary!AD$3,IS!$3:$3,0)),0)</f>
        <v>-74407.507499017971</v>
      </c>
      <c r="AE22" s="66">
        <f ca="1">IFERROR(INDEX(IS,MATCH($B22,IS!$A:$A,0),MATCH(Summary!AE$3,IS!$3:$3,0)),0)</f>
        <v>-106493.25088459859</v>
      </c>
      <c r="AF22" s="66">
        <f ca="1">IFERROR(INDEX(IS,MATCH($B22,IS!$A:$A,0),MATCH(Summary!AF$3,IS!$3:$3,0)),0)</f>
        <v>-96881.015871789539</v>
      </c>
      <c r="AG22" s="66">
        <f ca="1">IFERROR(INDEX(IS,MATCH($B22,IS!$A:$A,0),MATCH(Summary!AG$3,IS!$3:$3,0)),0)</f>
        <v>-89556.439983738339</v>
      </c>
      <c r="AH22" s="66">
        <f ca="1">IFERROR(INDEX(IS,MATCH($B22,IS!$A:$A,0),MATCH(Summary!AH$3,IS!$3:$3,0)),0)</f>
        <v>-95559.540060424086</v>
      </c>
      <c r="AI22" s="66">
        <f ca="1">IFERROR(INDEX(IS,MATCH($B22,IS!$A:$A,0),MATCH(Summary!AI$3,IS!$3:$3,0)),0)</f>
        <v>-91009.388253551471</v>
      </c>
      <c r="AJ22" s="66">
        <f ca="1">IFERROR(INDEX(IS,MATCH($B22,IS!$A:$A,0),MATCH(Summary!AJ$3,IS!$3:$3,0)),0)</f>
        <v>-87264.30300847895</v>
      </c>
      <c r="AK22" s="66">
        <f ca="1">IFERROR(INDEX(IS,MATCH($B22,IS!$A:$A,0),MATCH(Summary!AK$3,IS!$3:$3,0)),0)</f>
        <v>-87306.99229484814</v>
      </c>
      <c r="AL22" s="66">
        <f ca="1">IFERROR(INDEX(IS,MATCH($B22,IS!$A:$A,0),MATCH(Summary!AL$3,IS!$3:$3,0)),0)</f>
        <v>-82791.525108170215</v>
      </c>
      <c r="AM22" s="66">
        <f ca="1">IFERROR(INDEX(IS,MATCH($B22,IS!$A:$A,0),MATCH(Summary!AM$3,IS!$3:$3,0)),0)</f>
        <v>-78990.047838569881</v>
      </c>
      <c r="AN22" s="66">
        <f ca="1">IFERROR(INDEX(IS,MATCH($B22,IS!$A:$A,0),MATCH(Summary!AN$3,IS!$3:$3,0)),0)</f>
        <v>-84483.100676615359</v>
      </c>
      <c r="AO22" s="66">
        <f ca="1">IFERROR(INDEX(IS,MATCH($B22,IS!$A:$A,0),MATCH(Summary!AO$3,IS!$3:$3,0)),0)</f>
        <v>-78853.77428743754</v>
      </c>
      <c r="AP22" s="66">
        <f ca="1">IFERROR(INDEX(IS,MATCH($B22,IS!$A:$A,0),MATCH(Summary!AP$3,IS!$3:$3,0)),0)</f>
        <v>-73610.224442998937</v>
      </c>
      <c r="AQ22" s="66">
        <f ca="1">IFERROR(INDEX(IS,MATCH($B22,IS!$A:$A,0),MATCH(Summary!AQ$3,IS!$3:$3,0)),0)</f>
        <v>-47956.683489187351</v>
      </c>
      <c r="AR22" s="66">
        <f ca="1">IFERROR(INDEX(IS,MATCH($B22,IS!$A:$A,0),MATCH(Summary!AR$3,IS!$3:$3,0)),0)</f>
        <v>-17571.585301742205</v>
      </c>
      <c r="AS22" s="66">
        <f ca="1">IFERROR(INDEX(IS,MATCH($B22,IS!$A:$A,0),MATCH(Summary!AS$3,IS!$3:$3,0)),0)</f>
        <v>1136.6285374341476</v>
      </c>
      <c r="AT22" s="66">
        <f ca="1">IFERROR(INDEX(IS,MATCH($B22,IS!$A:$A,0),MATCH(Summary!AT$3,IS!$3:$3,0)),0)</f>
        <v>19707.311432505234</v>
      </c>
      <c r="AU22" s="66">
        <f ca="1">IFERROR(INDEX(IS,MATCH($B22,IS!$A:$A,0),MATCH(Summary!AU$3,IS!$3:$3,0)),0)</f>
        <v>38666.477396326809</v>
      </c>
      <c r="AV22" s="66">
        <f ca="1">IFERROR(INDEX(IS,MATCH($B22,IS!$A:$A,0),MATCH(Summary!AV$3,IS!$3:$3,0)),0)</f>
        <v>49241.033898118025</v>
      </c>
      <c r="AW22" s="66">
        <f ca="1">IFERROR(INDEX(IS,MATCH($B22,IS!$A:$A,0),MATCH(Summary!AW$3,IS!$3:$3,0)),0)</f>
        <v>64738.451764226847</v>
      </c>
      <c r="AX22" s="66">
        <f ca="1">IFERROR(INDEX(IS,MATCH($B22,IS!$A:$A,0),MATCH(Summary!AX$3,IS!$3:$3,0)),0)</f>
        <v>79207.410735542799</v>
      </c>
      <c r="AY22" s="66">
        <f ca="1">IFERROR(INDEX(IS,MATCH($B22,IS!$A:$A,0),MATCH(Summary!AY$3,IS!$3:$3,0)),0)</f>
        <v>89920.611495367804</v>
      </c>
      <c r="AZ22" s="66">
        <f ca="1">IFERROR(INDEX(IS,MATCH($B22,IS!$A:$A,0),MATCH(Summary!AZ$3,IS!$3:$3,0)),0)</f>
        <v>97318.932301188383</v>
      </c>
      <c r="BA22" s="66">
        <f ca="1">IFERROR(INDEX(IS,MATCH($B22,IS!$A:$A,0),MATCH(Summary!BA$3,IS!$3:$3,0)),0)</f>
        <v>111284.61992711561</v>
      </c>
      <c r="BB22" s="66">
        <f ca="1">IFERROR(INDEX(IS,MATCH($B22,IS!$A:$A,0),MATCH(Summary!BB$3,IS!$3:$3,0)),0)</f>
        <v>125462.36420604681</v>
      </c>
      <c r="BC22" s="66"/>
      <c r="BD22" s="66"/>
      <c r="BE22" s="66"/>
      <c r="BF22" s="66"/>
      <c r="BG22" s="66"/>
      <c r="BH22" s="66"/>
    </row>
    <row r="23" spans="1:60" s="209" customFormat="1" ht="12.75" customHeight="1" x14ac:dyDescent="0.15">
      <c r="A23" s="208" t="s">
        <v>1</v>
      </c>
      <c r="B23" s="208" t="s">
        <v>1</v>
      </c>
      <c r="C23" s="327">
        <f ca="1">IFERROR(INDEX(IS,MATCH($B23,IS!$A:$A,0),MATCH(Summary!C$3,IS!$3:$3,0)),0)</f>
        <v>-546068.95040058892</v>
      </c>
      <c r="D23" s="328">
        <f ca="1">IFERROR(INDEX(IS,MATCH($B23,IS!$A:$A,0),MATCH(Summary!D$3,IS!$3:$3,0)),0)</f>
        <v>-1615625.2889011656</v>
      </c>
      <c r="E23" s="328">
        <f ca="1">IFERROR(INDEX(IS,MATCH($B23,IS!$A:$A,0),MATCH(Summary!E$3,IS!$3:$3,0)),0)</f>
        <v>-2010913.5478922676</v>
      </c>
      <c r="F23" s="328">
        <f ca="1">IFERROR(INDEX(IS,MATCH($B23,IS!$A:$A,0),MATCH(Summary!F$3,IS!$3:$3,0)),0)</f>
        <v>1079288.9211054656</v>
      </c>
      <c r="G23" s="328">
        <f ca="1">IFERROR(INDEX(IS,MATCH($B23,IS!$A:$A,0),MATCH(Summary!G$3,IS!$3:$3,0)),0)</f>
        <v>-40860.006958333339</v>
      </c>
      <c r="H23" s="329">
        <f ca="1">IFERROR(INDEX(IS,MATCH($B23,IS!$A:$A,0),MATCH(Summary!H$3,IS!$3:$3,0)),0)</f>
        <v>-40527.860588009498</v>
      </c>
      <c r="I23" s="329">
        <f ca="1">IFERROR(INDEX(IS,MATCH($B23,IS!$A:$A,0),MATCH(Summary!I$3,IS!$3:$3,0)),0)</f>
        <v>-40356.082860997129</v>
      </c>
      <c r="J23" s="329">
        <f ca="1">IFERROR(INDEX(IS,MATCH($B23,IS!$A:$A,0),MATCH(Summary!J$3,IS!$3:$3,0)),0)</f>
        <v>-40050.795611345951</v>
      </c>
      <c r="K23" s="329">
        <f ca="1">IFERROR(INDEX(IS,MATCH($B23,IS!$A:$A,0),MATCH(Summary!K$3,IS!$3:$3,0)),0)</f>
        <v>-39887.752984944556</v>
      </c>
      <c r="L23" s="329">
        <f ca="1">IFERROR(INDEX(IS,MATCH($B23,IS!$A:$A,0),MATCH(Summary!L$3,IS!$3:$3,0)),0)</f>
        <v>-39795.480554892856</v>
      </c>
      <c r="M23" s="329">
        <f ca="1">IFERROR(INDEX(IS,MATCH($B23,IS!$A:$A,0),MATCH(Summary!M$3,IS!$3:$3,0)),0)</f>
        <v>-54730.024125897122</v>
      </c>
      <c r="N23" s="329">
        <f ca="1">IFERROR(INDEX(IS,MATCH($B23,IS!$A:$A,0),MATCH(Summary!N$3,IS!$3:$3,0)),0)</f>
        <v>-52672.767214193605</v>
      </c>
      <c r="O23" s="329">
        <f ca="1">IFERROR(INDEX(IS,MATCH($B23,IS!$A:$A,0),MATCH(Summary!O$3,IS!$3:$3,0)),0)</f>
        <v>-50554.935490754724</v>
      </c>
      <c r="P23" s="329">
        <f ca="1">IFERROR(INDEX(IS,MATCH($B23,IS!$A:$A,0),MATCH(Summary!P$3,IS!$3:$3,0)),0)</f>
        <v>-49451.657980740485</v>
      </c>
      <c r="Q23" s="329">
        <f ca="1">IFERROR(INDEX(IS,MATCH($B23,IS!$A:$A,0),MATCH(Summary!Q$3,IS!$3:$3,0)),0)</f>
        <v>-48803.224136808341</v>
      </c>
      <c r="R23" s="329">
        <f ca="1">IFERROR(INDEX(IS,MATCH($B23,IS!$A:$A,0),MATCH(Summary!R$3,IS!$3:$3,0)),0)</f>
        <v>-48378.361893671252</v>
      </c>
      <c r="S23" s="329">
        <f ca="1">IFERROR(INDEX(IS,MATCH($B23,IS!$A:$A,0),MATCH(Summary!S$3,IS!$3:$3,0)),0)</f>
        <v>-142632.66539728755</v>
      </c>
      <c r="T23" s="329">
        <f ca="1">IFERROR(INDEX(IS,MATCH($B23,IS!$A:$A,0),MATCH(Summary!T$3,IS!$3:$3,0)),0)</f>
        <v>-131655.31427085729</v>
      </c>
      <c r="U23" s="329">
        <f ca="1">IFERROR(INDEX(IS,MATCH($B23,IS!$A:$A,0),MATCH(Summary!U$3,IS!$3:$3,0)),0)</f>
        <v>-123129.37248953877</v>
      </c>
      <c r="V23" s="329">
        <f ca="1">IFERROR(INDEX(IS,MATCH($B23,IS!$A:$A,0),MATCH(Summary!V$3,IS!$3:$3,0)),0)</f>
        <v>-127161.14687375768</v>
      </c>
      <c r="W23" s="329">
        <f ca="1">IFERROR(INDEX(IS,MATCH($B23,IS!$A:$A,0),MATCH(Summary!W$3,IS!$3:$3,0)),0)</f>
        <v>-122938.06769226033</v>
      </c>
      <c r="X23" s="329">
        <f ca="1">IFERROR(INDEX(IS,MATCH($B23,IS!$A:$A,0),MATCH(Summary!X$3,IS!$3:$3,0)),0)</f>
        <v>-119782.57152832826</v>
      </c>
      <c r="Y23" s="329">
        <f ca="1">IFERROR(INDEX(IS,MATCH($B23,IS!$A:$A,0),MATCH(Summary!Y$3,IS!$3:$3,0)),0)</f>
        <v>-137030.81568128712</v>
      </c>
      <c r="Z23" s="329">
        <f ca="1">IFERROR(INDEX(IS,MATCH($B23,IS!$A:$A,0),MATCH(Summary!Z$3,IS!$3:$3,0)),0)</f>
        <v>-139705.7982827324</v>
      </c>
      <c r="AA23" s="329">
        <f ca="1">IFERROR(INDEX(IS,MATCH($B23,IS!$A:$A,0),MATCH(Summary!AA$3,IS!$3:$3,0)),0)</f>
        <v>-135781.72427800152</v>
      </c>
      <c r="AB23" s="329">
        <f ca="1">IFERROR(INDEX(IS,MATCH($B23,IS!$A:$A,0),MATCH(Summary!AB$3,IS!$3:$3,0)),0)</f>
        <v>-147802.38541793809</v>
      </c>
      <c r="AC23" s="329">
        <f ca="1">IFERROR(INDEX(IS,MATCH($B23,IS!$A:$A,0),MATCH(Summary!AC$3,IS!$3:$3,0)),0)</f>
        <v>-145177.19877671468</v>
      </c>
      <c r="AD23" s="329">
        <f ca="1">IFERROR(INDEX(IS,MATCH($B23,IS!$A:$A,0),MATCH(Summary!AD$3,IS!$3:$3,0)),0)</f>
        <v>-142828.22821246198</v>
      </c>
      <c r="AE23" s="329">
        <f ca="1">IFERROR(INDEX(IS,MATCH($B23,IS!$A:$A,0),MATCH(Summary!AE$3,IS!$3:$3,0)),0)</f>
        <v>-202416.03735711169</v>
      </c>
      <c r="AF23" s="329">
        <f ca="1">IFERROR(INDEX(IS,MATCH($B23,IS!$A:$A,0),MATCH(Summary!AF$3,IS!$3:$3,0)),0)</f>
        <v>-184564.74376189488</v>
      </c>
      <c r="AG23" s="329">
        <f ca="1">IFERROR(INDEX(IS,MATCH($B23,IS!$A:$A,0),MATCH(Summary!AG$3,IS!$3:$3,0)),0)</f>
        <v>-170961.95996979979</v>
      </c>
      <c r="AH23" s="329">
        <f ca="1">IFERROR(INDEX(IS,MATCH($B23,IS!$A:$A,0),MATCH(Summary!AH$3,IS!$3:$3,0)),0)</f>
        <v>-182110.57439793047</v>
      </c>
      <c r="AI23" s="329">
        <f ca="1">IFERROR(INDEX(IS,MATCH($B23,IS!$A:$A,0),MATCH(Summary!AI$3,IS!$3:$3,0)),0)</f>
        <v>-173660.29247088134</v>
      </c>
      <c r="AJ23" s="329">
        <f ca="1">IFERROR(INDEX(IS,MATCH($B23,IS!$A:$A,0),MATCH(Summary!AJ$3,IS!$3:$3,0)),0)</f>
        <v>-166705.13415860379</v>
      </c>
      <c r="AK23" s="329">
        <f ca="1">IFERROR(INDEX(IS,MATCH($B23,IS!$A:$A,0),MATCH(Summary!AK$3,IS!$3:$3,0)),0)</f>
        <v>-166784.41426186083</v>
      </c>
      <c r="AL23" s="329">
        <f ca="1">IFERROR(INDEX(IS,MATCH($B23,IS!$A:$A,0),MATCH(Summary!AL$3,IS!$3:$3,0)),0)</f>
        <v>-158398.54662945896</v>
      </c>
      <c r="AM23" s="329">
        <f ca="1">IFERROR(INDEX(IS,MATCH($B23,IS!$A:$A,0),MATCH(Summary!AM$3,IS!$3:$3,0)),0)</f>
        <v>-151338.66027162978</v>
      </c>
      <c r="AN23" s="329">
        <f ca="1">IFERROR(INDEX(IS,MATCH($B23,IS!$A:$A,0),MATCH(Summary!AN$3,IS!$3:$3,0)),0)</f>
        <v>-161540.04411371425</v>
      </c>
      <c r="AO23" s="329">
        <f ca="1">IFERROR(INDEX(IS,MATCH($B23,IS!$A:$A,0),MATCH(Summary!AO$3,IS!$3:$3,0)),0)</f>
        <v>-151085.58081952686</v>
      </c>
      <c r="AP23" s="329">
        <f ca="1">IFERROR(INDEX(IS,MATCH($B23,IS!$A:$A,0),MATCH(Summary!AP$3,IS!$3:$3,0)),0)</f>
        <v>-141347.55967985519</v>
      </c>
      <c r="AQ23" s="329">
        <f ca="1">IFERROR(INDEX(IS,MATCH($B23,IS!$A:$A,0),MATCH(Summary!AQ$3,IS!$3:$3,0)),0)</f>
        <v>-93705.269337062229</v>
      </c>
      <c r="AR23" s="329">
        <f ca="1">IFERROR(INDEX(IS,MATCH($B23,IS!$A:$A,0),MATCH(Summary!AR$3,IS!$3:$3,0)),0)</f>
        <v>-37275.801274664103</v>
      </c>
      <c r="AS23" s="329">
        <f ca="1">IFERROR(INDEX(IS,MATCH($B23,IS!$A:$A,0),MATCH(Summary!AS$3,IS!$3:$3,0)),0)</f>
        <v>-2531.9755733365837</v>
      </c>
      <c r="AT23" s="329">
        <f ca="1">IFERROR(INDEX(IS,MATCH($B23,IS!$A:$A,0),MATCH(Summary!AT$3,IS!$3:$3,0)),0)</f>
        <v>31956.435517509726</v>
      </c>
      <c r="AU23" s="329">
        <f ca="1">IFERROR(INDEX(IS,MATCH($B23,IS!$A:$A,0),MATCH(Summary!AU$3,IS!$3:$3,0)),0)</f>
        <v>67166.315164606931</v>
      </c>
      <c r="AV23" s="329">
        <f ca="1">IFERROR(INDEX(IS,MATCH($B23,IS!$A:$A,0),MATCH(Summary!AV$3,IS!$3:$3,0)),0)</f>
        <v>86804.777239362054</v>
      </c>
      <c r="AW23" s="329">
        <f ca="1">IFERROR(INDEX(IS,MATCH($B23,IS!$A:$A,0),MATCH(Summary!AW$3,IS!$3:$3,0)),0)</f>
        <v>115585.69613356415</v>
      </c>
      <c r="AX23" s="329">
        <f ca="1">IFERROR(INDEX(IS,MATCH($B23,IS!$A:$A,0),MATCH(Summary!AX$3,IS!$3:$3,0)),0)</f>
        <v>142456.61993743663</v>
      </c>
      <c r="AY23" s="329">
        <f ca="1">IFERROR(INDEX(IS,MATCH($B23,IS!$A:$A,0),MATCH(Summary!AY$3,IS!$3:$3,0)),0)</f>
        <v>162352.5642056831</v>
      </c>
      <c r="AZ23" s="329">
        <f ca="1">IFERROR(INDEX(IS,MATCH($B23,IS!$A:$A,0),MATCH(Summary!AZ$3,IS!$3:$3,0)),0)</f>
        <v>176092.30284506417</v>
      </c>
      <c r="BA23" s="329">
        <f ca="1">IFERROR(INDEX(IS,MATCH($B23,IS!$A:$A,0),MATCH(Summary!BA$3,IS!$3:$3,0)),0)</f>
        <v>202028.57986464328</v>
      </c>
      <c r="BB23" s="329">
        <f ca="1">IFERROR(INDEX(IS,MATCH($B23,IS!$A:$A,0),MATCH(Summary!BB$3,IS!$3:$3,0)),0)</f>
        <v>228358.67638265842</v>
      </c>
      <c r="BC23" s="329"/>
      <c r="BD23" s="329"/>
      <c r="BE23" s="329"/>
      <c r="BF23" s="329"/>
      <c r="BG23" s="329"/>
      <c r="BH23" s="329"/>
    </row>
    <row r="24" spans="1:60" ht="12.75" customHeight="1" x14ac:dyDescent="0.15">
      <c r="C24" s="55"/>
      <c r="D24" s="21"/>
      <c r="E24" s="21"/>
      <c r="F24" s="21"/>
      <c r="G24" s="21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7"/>
      <c r="BG24" s="57"/>
      <c r="BH24" s="57"/>
    </row>
    <row r="25" spans="1:60" s="192" customFormat="1" ht="16" x14ac:dyDescent="0.2">
      <c r="A25" s="193" t="s">
        <v>22</v>
      </c>
      <c r="B25" s="302"/>
      <c r="C25" s="30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</row>
    <row r="26" spans="1:60" s="67" customFormat="1" ht="12.75" customHeight="1" x14ac:dyDescent="0.15">
      <c r="A26" s="313" t="s">
        <v>50</v>
      </c>
      <c r="B26" s="313"/>
      <c r="C26" s="304"/>
      <c r="D26" s="60"/>
      <c r="E26" s="60"/>
      <c r="F26" s="60"/>
      <c r="G26" s="60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296" customFormat="1" ht="12.75" customHeight="1" x14ac:dyDescent="0.15">
      <c r="A27" s="95" t="s">
        <v>19</v>
      </c>
      <c r="B27" s="86" t="s">
        <v>19</v>
      </c>
      <c r="C27" s="316">
        <f ca="1">IFERROR(INDEX(BS,MATCH($B27,BS!$A:$A,0),MATCH(Summary!C$3,BS!$3:$3,0)),0)</f>
        <v>4495858.046994227</v>
      </c>
      <c r="D27" s="317">
        <f ca="1">IFERROR(INDEX(BS,MATCH($B27,BS!$A:$A,0),MATCH(Summary!D$3,BS!$3:$3,0)),0)</f>
        <v>7082934.4227761179</v>
      </c>
      <c r="E27" s="317">
        <f ca="1">IFERROR(INDEX(BS,MATCH($B27,BS!$A:$A,0),MATCH(Summary!E$3,BS!$3:$3,0)),0)</f>
        <v>3988082.2963783159</v>
      </c>
      <c r="F27" s="317">
        <f ca="1">IFERROR(INDEX(BS,MATCH($B27,BS!$A:$A,0),MATCH(Summary!F$3,BS!$3:$3,0)),0)</f>
        <v>5364137.3780309446</v>
      </c>
      <c r="G27" s="317">
        <f ca="1">IFERROR(INDEX(BS,MATCH($B27,BS!$A:$A,0),MATCH(Summary!G$3,BS!$3:$3,0)),0)</f>
        <v>267319.22541666665</v>
      </c>
      <c r="H27" s="317">
        <f ca="1">IFERROR(INDEX(BS,MATCH($B27,BS!$A:$A,0),MATCH(Summary!H$3,BS!$3:$3,0)),0)</f>
        <v>204713.17345794139</v>
      </c>
      <c r="I27" s="317">
        <f ca="1">IFERROR(INDEX(BS,MATCH($B27,BS!$A:$A,0),MATCH(Summary!I$3,BS!$3:$3,0)),0)</f>
        <v>142494.75542024401</v>
      </c>
      <c r="J27" s="317">
        <f ca="1">IFERROR(INDEX(BS,MATCH($B27,BS!$A:$A,0),MATCH(Summary!J$3,BS!$3:$3,0)),0)</f>
        <v>5080643.3104415191</v>
      </c>
      <c r="K27" s="317">
        <f ca="1">IFERROR(INDEX(BS,MATCH($B27,BS!$A:$A,0),MATCH(Summary!K$3,BS!$3:$3,0)),0)</f>
        <v>5019152.1192136034</v>
      </c>
      <c r="L27" s="317">
        <f ca="1">IFERROR(INDEX(BS,MATCH($B27,BS!$A:$A,0),MATCH(Summary!L$3,BS!$3:$3,0)),0)</f>
        <v>4957857.3241829593</v>
      </c>
      <c r="M27" s="317">
        <f ca="1">IFERROR(INDEX(BS,MATCH($B27,BS!$A:$A,0),MATCH(Summary!M$3,BS!$3:$3,0)),0)</f>
        <v>4885145.3975054286</v>
      </c>
      <c r="N27" s="317">
        <f ca="1">IFERROR(INDEX(BS,MATCH($B27,BS!$A:$A,0),MATCH(Summary!N$3,BS!$3:$3,0)),0)</f>
        <v>4802527.8657053588</v>
      </c>
      <c r="O27" s="317">
        <f ca="1">IFERROR(INDEX(BS,MATCH($B27,BS!$A:$A,0),MATCH(Summary!O$3,BS!$3:$3,0)),0)</f>
        <v>4723121.9405477066</v>
      </c>
      <c r="P27" s="317">
        <f ca="1">IFERROR(INDEX(BS,MATCH($B27,BS!$A:$A,0),MATCH(Summary!P$3,BS!$3:$3,0)),0)</f>
        <v>4646193.7917234795</v>
      </c>
      <c r="Q27" s="317">
        <f ca="1">IFERROR(INDEX(BS,MATCH($B27,BS!$A:$A,0),MATCH(Summary!Q$3,BS!$3:$3,0)),0)</f>
        <v>4570613.1131715188</v>
      </c>
      <c r="R27" s="317">
        <f ca="1">IFERROR(INDEX(BS,MATCH($B27,BS!$A:$A,0),MATCH(Summary!R$3,BS!$3:$3,0)),0)</f>
        <v>4495858.046994227</v>
      </c>
      <c r="S27" s="317">
        <f ca="1">IFERROR(INDEX(BS,MATCH($B27,BS!$A:$A,0),MATCH(Summary!S$3,BS!$3:$3,0)),0)</f>
        <v>4348926.4875396434</v>
      </c>
      <c r="T27" s="317">
        <f ca="1">IFERROR(INDEX(BS,MATCH($B27,BS!$A:$A,0),MATCH(Summary!T$3,BS!$3:$3,0)),0)</f>
        <v>4137935.733948763</v>
      </c>
      <c r="U27" s="317">
        <f ca="1">IFERROR(INDEX(BS,MATCH($B27,BS!$A:$A,0),MATCH(Summary!U$3,BS!$3:$3,0)),0)</f>
        <v>3941947.5133638429</v>
      </c>
      <c r="V27" s="317">
        <f ca="1">IFERROR(INDEX(BS,MATCH($B27,BS!$A:$A,0),MATCH(Summary!V$3,BS!$3:$3,0)),0)</f>
        <v>3749416.3446228458</v>
      </c>
      <c r="W27" s="317">
        <f ca="1">IFERROR(INDEX(BS,MATCH($B27,BS!$A:$A,0),MATCH(Summary!W$3,BS!$3:$3,0)),0)</f>
        <v>3557032.3334182166</v>
      </c>
      <c r="X27" s="317">
        <f ca="1">IFERROR(INDEX(BS,MATCH($B27,BS!$A:$A,0),MATCH(Summary!X$3,BS!$3:$3,0)),0)</f>
        <v>3370324.1494023791</v>
      </c>
      <c r="Y27" s="317">
        <f ca="1">IFERROR(INDEX(BS,MATCH($B27,BS!$A:$A,0),MATCH(Summary!Y$3,BS!$3:$3,0)),0)</f>
        <v>3172775.3900103671</v>
      </c>
      <c r="Z27" s="317">
        <f ca="1">IFERROR(INDEX(BS,MATCH($B27,BS!$A:$A,0),MATCH(Summary!Z$3,BS!$3:$3,0)),0)</f>
        <v>2959901.0715765059</v>
      </c>
      <c r="AA27" s="317">
        <f ca="1">IFERROR(INDEX(BS,MATCH($B27,BS!$A:$A,0),MATCH(Summary!AA$3,BS!$3:$3,0)),0)</f>
        <v>7747987.5926836338</v>
      </c>
      <c r="AB27" s="317">
        <f ca="1">IFERROR(INDEX(BS,MATCH($B27,BS!$A:$A,0),MATCH(Summary!AB$3,BS!$3:$3,0)),0)</f>
        <v>7529845.9698406029</v>
      </c>
      <c r="AC27" s="317">
        <f ca="1">IFERROR(INDEX(BS,MATCH($B27,BS!$A:$A,0),MATCH(Summary!AC$3,BS!$3:$3,0)),0)</f>
        <v>7304477.0589216389</v>
      </c>
      <c r="AD27" s="317">
        <f ca="1">IFERROR(INDEX(BS,MATCH($B27,BS!$A:$A,0),MATCH(Summary!AD$3,BS!$3:$3,0)),0)</f>
        <v>7082934.4227761179</v>
      </c>
      <c r="AE27" s="317">
        <f ca="1">IFERROR(INDEX(BS,MATCH($B27,BS!$A:$A,0),MATCH(Summary!AE$3,BS!$3:$3,0)),0)</f>
        <v>6817361.9107995229</v>
      </c>
      <c r="AF27" s="317">
        <f ca="1">IFERROR(INDEX(BS,MATCH($B27,BS!$A:$A,0),MATCH(Summary!AF$3,BS!$3:$3,0)),0)</f>
        <v>6519684.3868618254</v>
      </c>
      <c r="AG27" s="317">
        <f ca="1">IFERROR(INDEX(BS,MATCH($B27,BS!$A:$A,0),MATCH(Summary!AG$3,BS!$3:$3,0)),0)</f>
        <v>6246202.3070682138</v>
      </c>
      <c r="AH27" s="317">
        <f ca="1">IFERROR(INDEX(BS,MATCH($B27,BS!$A:$A,0),MATCH(Summary!AH$3,BS!$3:$3,0)),0)</f>
        <v>5974608.0498622674</v>
      </c>
      <c r="AI27" s="317">
        <f ca="1">IFERROR(INDEX(BS,MATCH($B27,BS!$A:$A,0),MATCH(Summary!AI$3,BS!$3:$3,0)),0)</f>
        <v>5700938.152270874</v>
      </c>
      <c r="AJ27" s="317">
        <f ca="1">IFERROR(INDEX(BS,MATCH($B27,BS!$A:$A,0),MATCH(Summary!AJ$3,BS!$3:$3,0)),0)</f>
        <v>5439118.5933251157</v>
      </c>
      <c r="AK27" s="317">
        <f ca="1">IFERROR(INDEX(BS,MATCH($B27,BS!$A:$A,0),MATCH(Summary!AK$3,BS!$3:$3,0)),0)</f>
        <v>5182588.1714632194</v>
      </c>
      <c r="AL27" s="317">
        <f ca="1">IFERROR(INDEX(BS,MATCH($B27,BS!$A:$A,0),MATCH(Summary!AL$3,BS!$3:$3,0)),0)</f>
        <v>4932447.4323160509</v>
      </c>
      <c r="AM27" s="317">
        <f ca="1">IFERROR(INDEX(BS,MATCH($B27,BS!$A:$A,0),MATCH(Summary!AM$3,BS!$3:$3,0)),0)</f>
        <v>4694188.0423921365</v>
      </c>
      <c r="AN27" s="317">
        <f ca="1">IFERROR(INDEX(BS,MATCH($B27,BS!$A:$A,0),MATCH(Summary!AN$3,BS!$3:$3,0)),0)</f>
        <v>4453512.1159418719</v>
      </c>
      <c r="AO27" s="317">
        <f ca="1">IFERROR(INDEX(BS,MATCH($B27,BS!$A:$A,0),MATCH(Summary!AO$3,BS!$3:$3,0)),0)</f>
        <v>4213030.865993225</v>
      </c>
      <c r="AP27" s="317">
        <f ca="1">IFERROR(INDEX(BS,MATCH($B27,BS!$A:$A,0),MATCH(Summary!AP$3,BS!$3:$3,0)),0)</f>
        <v>3988082.2963783159</v>
      </c>
      <c r="AQ27" s="317">
        <f ca="1">IFERROR(INDEX(BS,MATCH($B27,BS!$A:$A,0),MATCH(Summary!AQ$3,BS!$3:$3,0)),0)</f>
        <v>3807272.4279037639</v>
      </c>
      <c r="AR27" s="317">
        <f ca="1">IFERROR(INDEX(BS,MATCH($B27,BS!$A:$A,0),MATCH(Summary!AR$3,BS!$3:$3,0)),0)</f>
        <v>3706517.7582024359</v>
      </c>
      <c r="AS27" s="317">
        <f ca="1">IFERROR(INDEX(BS,MATCH($B27,BS!$A:$A,0),MATCH(Summary!AS$3,BS!$3:$3,0)),0)</f>
        <v>3675896.3913962818</v>
      </c>
      <c r="AT27" s="317">
        <f ca="1">IFERROR(INDEX(BS,MATCH($B27,BS!$A:$A,0),MATCH(Summary!AT$3,BS!$3:$3,0)),0)</f>
        <v>3698530.5913533377</v>
      </c>
      <c r="AU27" s="317">
        <f ca="1">IFERROR(INDEX(BS,MATCH($B27,BS!$A:$A,0),MATCH(Summary!AU$3,BS!$3:$3,0)),0)</f>
        <v>3774778.861108812</v>
      </c>
      <c r="AV27" s="317">
        <f ca="1">IFERROR(INDEX(BS,MATCH($B27,BS!$A:$A,0),MATCH(Summary!AV$3,BS!$3:$3,0)),0)</f>
        <v>3893218.1629580189</v>
      </c>
      <c r="AW27" s="317">
        <f ca="1">IFERROR(INDEX(BS,MATCH($B27,BS!$A:$A,0),MATCH(Summary!AW$3,BS!$3:$3,0)),0)</f>
        <v>4048903.1424756544</v>
      </c>
      <c r="AX27" s="317">
        <f ca="1">IFERROR(INDEX(BS,MATCH($B27,BS!$A:$A,0),MATCH(Summary!AX$3,BS!$3:$3,0)),0)</f>
        <v>4247397.2317610402</v>
      </c>
      <c r="AY27" s="317">
        <f ca="1">IFERROR(INDEX(BS,MATCH($B27,BS!$A:$A,0),MATCH(Summary!AY$3,BS!$3:$3,0)),0)</f>
        <v>4481865.8349480554</v>
      </c>
      <c r="AZ27" s="317">
        <f ca="1">IFERROR(INDEX(BS,MATCH($B27,BS!$A:$A,0),MATCH(Summary!AZ$3,BS!$3:$3,0)),0)</f>
        <v>4742208.0403717067</v>
      </c>
      <c r="BA27" s="317">
        <f ca="1">IFERROR(INDEX(BS,MATCH($B27,BS!$A:$A,0),MATCH(Summary!BA$3,BS!$3:$3,0)),0)</f>
        <v>5033070.2578407126</v>
      </c>
      <c r="BB27" s="317">
        <f ca="1">IFERROR(INDEX(BS,MATCH($B27,BS!$A:$A,0),MATCH(Summary!BB$3,BS!$3:$3,0)),0)</f>
        <v>5364137.3780309446</v>
      </c>
      <c r="BC27" s="299"/>
      <c r="BD27" s="299"/>
      <c r="BE27" s="299"/>
      <c r="BF27" s="299"/>
      <c r="BG27" s="299"/>
      <c r="BH27" s="299"/>
    </row>
    <row r="28" spans="1:60" s="296" customFormat="1" ht="12.75" customHeight="1" x14ac:dyDescent="0.15">
      <c r="A28" s="95" t="s">
        <v>12</v>
      </c>
      <c r="B28" s="86" t="s">
        <v>12</v>
      </c>
      <c r="C28" s="321">
        <f ca="1">IFERROR(INDEX(BS,MATCH($B28,BS!$A:$A,0),MATCH(Summary!C$3,BS!$3:$3,0)),0)</f>
        <v>7934.4495787698324</v>
      </c>
      <c r="D28" s="322">
        <f ca="1">IFERROR(INDEX(BS,MATCH($B28,BS!$A:$A,0),MATCH(Summary!D$3,BS!$3:$3,0)),0)</f>
        <v>61389.104523274043</v>
      </c>
      <c r="E28" s="322">
        <f ca="1">IFERROR(INDEX(BS,MATCH($B28,BS!$A:$A,0),MATCH(Summary!E$3,BS!$3:$3,0)),0)</f>
        <v>175929.89359797121</v>
      </c>
      <c r="F28" s="322">
        <f ca="1">IFERROR(INDEX(BS,MATCH($B28,BS!$A:$A,0),MATCH(Summary!F$3,BS!$3:$3,0)),0)</f>
        <v>537727.56135125039</v>
      </c>
      <c r="G28" s="322">
        <f ca="1">IFERROR(INDEX(BS,MATCH($B28,BS!$A:$A,0),MATCH(Summary!G$3,BS!$3:$3,0)),0)</f>
        <v>502</v>
      </c>
      <c r="H28" s="323">
        <f ca="1">IFERROR(INDEX(BS,MATCH($B28,BS!$A:$A,0),MATCH(Summary!H$3,BS!$3:$3,0)),0)</f>
        <v>765.39918344475711</v>
      </c>
      <c r="I28" s="323">
        <f ca="1">IFERROR(INDEX(BS,MATCH($B28,BS!$A:$A,0),MATCH(Summary!I$3,BS!$3:$3,0)),0)</f>
        <v>901.62259899778553</v>
      </c>
      <c r="J28" s="323">
        <f ca="1">IFERROR(INDEX(BS,MATCH($B28,BS!$A:$A,0),MATCH(Summary!J$3,BS!$3:$3,0)),0)</f>
        <v>1143.721924652963</v>
      </c>
      <c r="K28" s="323">
        <f ca="1">IFERROR(INDEX(BS,MATCH($B28,BS!$A:$A,0),MATCH(Summary!K$3,BS!$3:$3,0)),0)</f>
        <v>1273.018218389195</v>
      </c>
      <c r="L28" s="323">
        <f ca="1">IFERROR(INDEX(BS,MATCH($B28,BS!$A:$A,0),MATCH(Summary!L$3,BS!$3:$3,0)),0)</f>
        <v>1346.1922311185367</v>
      </c>
      <c r="M28" s="323">
        <f ca="1">IFERROR(INDEX(BS,MATCH($B28,BS!$A:$A,0),MATCH(Summary!M$3,BS!$3:$3,0)),0)</f>
        <v>2897.445429502689</v>
      </c>
      <c r="N28" s="323">
        <f ca="1">IFERROR(INDEX(BS,MATCH($B28,BS!$A:$A,0),MATCH(Summary!N$3,BS!$3:$3,0)),0)</f>
        <v>4528.8942096006367</v>
      </c>
      <c r="O28" s="323">
        <f ca="1">IFERROR(INDEX(BS,MATCH($B28,BS!$A:$A,0),MATCH(Summary!O$3,BS!$3:$3,0)),0)</f>
        <v>6208.3801124070442</v>
      </c>
      <c r="P28" s="323">
        <f ca="1">IFERROR(INDEX(BS,MATCH($B28,BS!$A:$A,0),MATCH(Summary!P$3,BS!$3:$3,0)),0)</f>
        <v>7083.3028007609282</v>
      </c>
      <c r="Q28" s="323">
        <f ca="1">IFERROR(INDEX(BS,MATCH($B28,BS!$A:$A,0),MATCH(Summary!Q$3,BS!$3:$3,0)),0)</f>
        <v>7597.5247229910201</v>
      </c>
      <c r="R28" s="323">
        <f ca="1">IFERROR(INDEX(BS,MATCH($B28,BS!$A:$A,0),MATCH(Summary!R$3,BS!$3:$3,0)),0)</f>
        <v>7934.4495787698324</v>
      </c>
      <c r="S28" s="323">
        <f ca="1">IFERROR(INDEX(BS,MATCH($B28,BS!$A:$A,0),MATCH(Summary!S$3,BS!$3:$3,0)),0)</f>
        <v>19610.189729219495</v>
      </c>
      <c r="T28" s="323">
        <f ca="1">IFERROR(INDEX(BS,MATCH($B28,BS!$A:$A,0),MATCH(Summary!T$3,BS!$3:$3,0)),0)</f>
        <v>28315.464214889809</v>
      </c>
      <c r="U28" s="323">
        <f ca="1">IFERROR(INDEX(BS,MATCH($B28,BS!$A:$A,0),MATCH(Summary!U$3,BS!$3:$3,0)),0)</f>
        <v>35076.718601343819</v>
      </c>
      <c r="V28" s="323">
        <f ca="1">IFERROR(INDEX(BS,MATCH($B28,BS!$A:$A,0),MATCH(Summary!V$3,BS!$3:$3,0)),0)</f>
        <v>39748.022655789602</v>
      </c>
      <c r="W28" s="323">
        <f ca="1">IFERROR(INDEX(BS,MATCH($B28,BS!$A:$A,0),MATCH(Summary!W$3,BS!$3:$3,0)),0)</f>
        <v>43104.426000091415</v>
      </c>
      <c r="X28" s="323">
        <f ca="1">IFERROR(INDEX(BS,MATCH($B28,BS!$A:$A,0),MATCH(Summary!X$3,BS!$3:$3,0)),0)</f>
        <v>45619.767701113393</v>
      </c>
      <c r="Y28" s="323">
        <f ca="1">IFERROR(INDEX(BS,MATCH($B28,BS!$A:$A,0),MATCH(Summary!Y$3,BS!$3:$3,0)),0)</f>
        <v>48443.421886180084</v>
      </c>
      <c r="Z28" s="323">
        <f ca="1">IFERROR(INDEX(BS,MATCH($B28,BS!$A:$A,0),MATCH(Summary!Z$3,BS!$3:$3,0)),0)</f>
        <v>51499.416284880172</v>
      </c>
      <c r="AA28" s="323">
        <f ca="1">IFERROR(INDEX(BS,MATCH($B28,BS!$A:$A,0),MATCH(Summary!AA$3,BS!$3:$3,0)),0)</f>
        <v>54737.962904466112</v>
      </c>
      <c r="AB28" s="323">
        <f ca="1">IFERROR(INDEX(BS,MATCH($B28,BS!$A:$A,0),MATCH(Summary!AB$3,BS!$3:$3,0)),0)</f>
        <v>57289.907562176428</v>
      </c>
      <c r="AC28" s="323">
        <f ca="1">IFERROR(INDEX(BS,MATCH($B28,BS!$A:$A,0),MATCH(Summary!AC$3,BS!$3:$3,0)),0)</f>
        <v>59453.779445799228</v>
      </c>
      <c r="AD28" s="323">
        <f ca="1">IFERROR(INDEX(BS,MATCH($B28,BS!$A:$A,0),MATCH(Summary!AD$3,BS!$3:$3,0)),0)</f>
        <v>61389.104523274043</v>
      </c>
      <c r="AE28" s="323">
        <f ca="1">IFERROR(INDEX(BS,MATCH($B28,BS!$A:$A,0),MATCH(Summary!AE$3,BS!$3:$3,0)),0)</f>
        <v>81071.331607731365</v>
      </c>
      <c r="AF28" s="323">
        <f ca="1">IFERROR(INDEX(BS,MATCH($B28,BS!$A:$A,0),MATCH(Summary!AF$3,BS!$3:$3,0)),0)</f>
        <v>95824.419701404884</v>
      </c>
      <c r="AG28" s="323">
        <f ca="1">IFERROR(INDEX(BS,MATCH($B28,BS!$A:$A,0),MATCH(Summary!AG$3,BS!$3:$3,0)),0)</f>
        <v>107062.06204882472</v>
      </c>
      <c r="AH28" s="323">
        <f ca="1">IFERROR(INDEX(BS,MATCH($B28,BS!$A:$A,0),MATCH(Summary!AH$3,BS!$3:$3,0)),0)</f>
        <v>115801.48181475952</v>
      </c>
      <c r="AI28" s="323">
        <f ca="1">IFERROR(INDEX(BS,MATCH($B28,BS!$A:$A,0),MATCH(Summary!AI$3,BS!$3:$3,0)),0)</f>
        <v>122775.68950735567</v>
      </c>
      <c r="AJ28" s="323">
        <f ca="1">IFERROR(INDEX(BS,MATCH($B28,BS!$A:$A,0),MATCH(Summary!AJ$3,BS!$3:$3,0)),0)</f>
        <v>128512.76889197972</v>
      </c>
      <c r="AK28" s="323">
        <f ca="1">IFERROR(INDEX(BS,MATCH($B28,BS!$A:$A,0),MATCH(Summary!AK$3,BS!$3:$3,0)),0)</f>
        <v>137007.51153731105</v>
      </c>
      <c r="AL28" s="323">
        <f ca="1">IFERROR(INDEX(BS,MATCH($B28,BS!$A:$A,0),MATCH(Summary!AL$3,BS!$3:$3,0)),0)</f>
        <v>143926.52165145779</v>
      </c>
      <c r="AM28" s="323">
        <f ca="1">IFERROR(INDEX(BS,MATCH($B28,BS!$A:$A,0),MATCH(Summary!AM$3,BS!$3:$3,0)),0)</f>
        <v>149748.36940007782</v>
      </c>
      <c r="AN28" s="323">
        <f ca="1">IFERROR(INDEX(BS,MATCH($B28,BS!$A:$A,0),MATCH(Summary!AN$3,BS!$3:$3,0)),0)</f>
        <v>159267.33775054314</v>
      </c>
      <c r="AO28" s="323">
        <f ca="1">IFERROR(INDEX(BS,MATCH($B28,BS!$A:$A,0),MATCH(Summary!AO$3,BS!$3:$3,0)),0)</f>
        <v>167895.23650257257</v>
      </c>
      <c r="AP28" s="323">
        <f ca="1">IFERROR(INDEX(BS,MATCH($B28,BS!$A:$A,0),MATCH(Summary!AP$3,BS!$3:$3,0)),0)</f>
        <v>175929.89359797121</v>
      </c>
      <c r="AQ28" s="323">
        <f ca="1">IFERROR(INDEX(BS,MATCH($B28,BS!$A:$A,0),MATCH(Summary!AQ$3,BS!$3:$3,0)),0)</f>
        <v>233099.48495521749</v>
      </c>
      <c r="AR28" s="323">
        <f ca="1">IFERROR(INDEX(BS,MATCH($B28,BS!$A:$A,0),MATCH(Summary!AR$3,BS!$3:$3,0)),0)</f>
        <v>279739.76560921851</v>
      </c>
      <c r="AS28" s="323">
        <f ca="1">IFERROR(INDEX(BS,MATCH($B28,BS!$A:$A,0),MATCH(Summary!AS$3,BS!$3:$3,0)),0)</f>
        <v>318266.17794706131</v>
      </c>
      <c r="AT28" s="323">
        <f ca="1">IFERROR(INDEX(BS,MATCH($B28,BS!$A:$A,0),MATCH(Summary!AT$3,BS!$3:$3,0)),0)</f>
        <v>351401.62010048318</v>
      </c>
      <c r="AU28" s="323">
        <f ca="1">IFERROR(INDEX(BS,MATCH($B28,BS!$A:$A,0),MATCH(Summary!AU$3,BS!$3:$3,0)),0)</f>
        <v>380478.25418391562</v>
      </c>
      <c r="AV28" s="323">
        <f ca="1">IFERROR(INDEX(BS,MATCH($B28,BS!$A:$A,0),MATCH(Summary!AV$3,BS!$3:$3,0)),0)</f>
        <v>406500.45629519661</v>
      </c>
      <c r="AW28" s="323">
        <f ca="1">IFERROR(INDEX(BS,MATCH($B28,BS!$A:$A,0),MATCH(Summary!AW$3,BS!$3:$3,0)),0)</f>
        <v>430254.40777069452</v>
      </c>
      <c r="AX28" s="323">
        <f ca="1">IFERROR(INDEX(BS,MATCH($B28,BS!$A:$A,0),MATCH(Summary!AX$3,BS!$3:$3,0)),0)</f>
        <v>452426.54056728818</v>
      </c>
      <c r="AY28" s="323">
        <f ca="1">IFERROR(INDEX(BS,MATCH($B28,BS!$A:$A,0),MATCH(Summary!AY$3,BS!$3:$3,0)),0)</f>
        <v>473479.94792192068</v>
      </c>
      <c r="AZ28" s="323">
        <f ca="1">IFERROR(INDEX(BS,MATCH($B28,BS!$A:$A,0),MATCH(Summary!AZ$3,BS!$3:$3,0)),0)</f>
        <v>494615.38111504726</v>
      </c>
      <c r="BA28" s="323">
        <f ca="1">IFERROR(INDEX(BS,MATCH($B28,BS!$A:$A,0),MATCH(Summary!BA$3,BS!$3:$3,0)),0)</f>
        <v>516009.39342394797</v>
      </c>
      <c r="BB28" s="323">
        <f ca="1">IFERROR(INDEX(BS,MATCH($B28,BS!$A:$A,0),MATCH(Summary!BB$3,BS!$3:$3,0)),0)</f>
        <v>537727.56135125039</v>
      </c>
      <c r="BC28" s="299"/>
      <c r="BD28" s="299"/>
      <c r="BE28" s="299"/>
      <c r="BF28" s="299"/>
      <c r="BG28" s="299"/>
      <c r="BH28" s="299"/>
    </row>
    <row r="29" spans="1:60" s="296" customFormat="1" ht="12.75" customHeight="1" x14ac:dyDescent="0.15">
      <c r="A29" s="95" t="s">
        <v>13</v>
      </c>
      <c r="B29" s="287" t="s">
        <v>27</v>
      </c>
      <c r="C29" s="321">
        <f ca="1">C30-C28-C27</f>
        <v>294037.12713877857</v>
      </c>
      <c r="D29" s="322">
        <f t="shared" ref="D29:BB29" ca="1" si="5">D30-D28-D27</f>
        <v>1163989.2057778677</v>
      </c>
      <c r="E29" s="322">
        <f t="shared" ca="1" si="5"/>
        <v>2246788.8084890884</v>
      </c>
      <c r="F29" s="322">
        <f t="shared" ca="1" si="5"/>
        <v>1665633.2355861478</v>
      </c>
      <c r="G29" s="322">
        <f t="shared" ca="1" si="5"/>
        <v>22001.542208333325</v>
      </c>
      <c r="H29" s="323">
        <f t="shared" ca="1" si="5"/>
        <v>43824.236371107661</v>
      </c>
      <c r="I29" s="323">
        <f t="shared" ca="1" si="5"/>
        <v>65554.434834721498</v>
      </c>
      <c r="J29" s="323">
        <f t="shared" ca="1" si="5"/>
        <v>87120.247856215574</v>
      </c>
      <c r="K29" s="323">
        <f t="shared" ca="1" si="5"/>
        <v>108598.26869426295</v>
      </c>
      <c r="L29" s="323">
        <f t="shared" ca="1" si="5"/>
        <v>130026.60437766649</v>
      </c>
      <c r="M29" s="323">
        <f t="shared" ca="1" si="5"/>
        <v>159496.61736853421</v>
      </c>
      <c r="N29" s="323">
        <f t="shared" ca="1" si="5"/>
        <v>187858.87663771491</v>
      </c>
      <c r="O29" s="323">
        <f t="shared" ca="1" si="5"/>
        <v>215080.76497889124</v>
      </c>
      <c r="P29" s="323">
        <f t="shared" ca="1" si="5"/>
        <v>241708.5808146745</v>
      </c>
      <c r="Q29" s="323">
        <f t="shared" ca="1" si="5"/>
        <v>267987.23996526375</v>
      </c>
      <c r="R29" s="323">
        <f t="shared" ca="1" si="5"/>
        <v>294037.12713877857</v>
      </c>
      <c r="S29" s="323">
        <f t="shared" ca="1" si="5"/>
        <v>370839.33158347197</v>
      </c>
      <c r="T29" s="323">
        <f t="shared" ca="1" si="5"/>
        <v>441730.65465239482</v>
      </c>
      <c r="U29" s="323">
        <f t="shared" ca="1" si="5"/>
        <v>508031.08599291556</v>
      </c>
      <c r="V29" s="323">
        <f t="shared" ca="1" si="5"/>
        <v>576502.47277109325</v>
      </c>
      <c r="W29" s="323">
        <f t="shared" ca="1" si="5"/>
        <v>642699.89383615647</v>
      </c>
      <c r="X29" s="323">
        <f t="shared" ca="1" si="5"/>
        <v>707198.2015821794</v>
      </c>
      <c r="Y29" s="323">
        <f t="shared" ca="1" si="5"/>
        <v>780984.02541056462</v>
      </c>
      <c r="Z29" s="323">
        <f t="shared" ca="1" si="5"/>
        <v>856210.22448588209</v>
      </c>
      <c r="AA29" s="323">
        <f t="shared" ca="1" si="5"/>
        <v>929323.46063557453</v>
      </c>
      <c r="AB29" s="323">
        <f t="shared" ca="1" si="5"/>
        <v>1008909.360476004</v>
      </c>
      <c r="AC29" s="323">
        <f t="shared" ca="1" si="5"/>
        <v>1087081.6982788499</v>
      </c>
      <c r="AD29" s="323">
        <f t="shared" ca="1" si="5"/>
        <v>1163989.2057778677</v>
      </c>
      <c r="AE29" s="323">
        <f t="shared" ca="1" si="5"/>
        <v>1272982.4566624667</v>
      </c>
      <c r="AF29" s="323">
        <f t="shared" ca="1" si="5"/>
        <v>1372363.4725342561</v>
      </c>
      <c r="AG29" s="323">
        <f t="shared" ca="1" si="5"/>
        <v>1464419.9125179946</v>
      </c>
      <c r="AH29" s="323">
        <f t="shared" ca="1" si="5"/>
        <v>1562479.4525784189</v>
      </c>
      <c r="AI29" s="323">
        <f t="shared" ca="1" si="5"/>
        <v>1655988.8408319699</v>
      </c>
      <c r="AJ29" s="323">
        <f t="shared" ca="1" si="5"/>
        <v>1745753.1438404489</v>
      </c>
      <c r="AK29" s="323">
        <f t="shared" ca="1" si="5"/>
        <v>1835560.1361352969</v>
      </c>
      <c r="AL29" s="323">
        <f t="shared" ca="1" si="5"/>
        <v>1920851.6612434676</v>
      </c>
      <c r="AM29" s="323">
        <f t="shared" ca="1" si="5"/>
        <v>2002341.7090820372</v>
      </c>
      <c r="AN29" s="323">
        <f t="shared" ca="1" si="5"/>
        <v>2089324.8097586529</v>
      </c>
      <c r="AO29" s="323">
        <f t="shared" ca="1" si="5"/>
        <v>2170678.58404609</v>
      </c>
      <c r="AP29" s="323">
        <f t="shared" ca="1" si="5"/>
        <v>2246788.8084890884</v>
      </c>
      <c r="AQ29" s="323">
        <f t="shared" ca="1" si="5"/>
        <v>2297245.4919782765</v>
      </c>
      <c r="AR29" s="323">
        <f t="shared" ca="1" si="5"/>
        <v>2317317.077280018</v>
      </c>
      <c r="AS29" s="323">
        <f t="shared" ca="1" si="5"/>
        <v>2318680.4487425839</v>
      </c>
      <c r="AT29" s="323">
        <f t="shared" ca="1" si="5"/>
        <v>2301473.1373100788</v>
      </c>
      <c r="AU29" s="323">
        <f t="shared" ca="1" si="5"/>
        <v>2265306.6599137527</v>
      </c>
      <c r="AV29" s="323">
        <f t="shared" ca="1" si="5"/>
        <v>2218565.6260156338</v>
      </c>
      <c r="AW29" s="323">
        <f t="shared" ca="1" si="5"/>
        <v>2156327.1742514074</v>
      </c>
      <c r="AX29" s="323">
        <f t="shared" ca="1" si="5"/>
        <v>2079619.7635158654</v>
      </c>
      <c r="AY29" s="323">
        <f t="shared" ca="1" si="5"/>
        <v>1992199.1520204972</v>
      </c>
      <c r="AZ29" s="323">
        <f t="shared" ca="1" si="5"/>
        <v>1897380.2197193094</v>
      </c>
      <c r="BA29" s="323">
        <f t="shared" ca="1" si="5"/>
        <v>1788595.5997921927</v>
      </c>
      <c r="BB29" s="323">
        <f t="shared" ca="1" si="5"/>
        <v>1665633.2355861478</v>
      </c>
      <c r="BC29" s="299"/>
      <c r="BD29" s="299"/>
      <c r="BE29" s="299"/>
      <c r="BF29" s="299"/>
      <c r="BG29" s="299"/>
      <c r="BH29" s="299"/>
    </row>
    <row r="30" spans="1:60" s="67" customFormat="1" ht="12.75" customHeight="1" x14ac:dyDescent="0.15">
      <c r="A30" s="313" t="s">
        <v>51</v>
      </c>
      <c r="B30" s="59" t="s">
        <v>51</v>
      </c>
      <c r="C30" s="318">
        <f ca="1">IFERROR(INDEX(BS,MATCH($B30,BS!$A:$A,0),MATCH(Summary!C$3,BS!$3:$3,0)),0)</f>
        <v>4797829.6237117751</v>
      </c>
      <c r="D30" s="324">
        <f ca="1">IFERROR(INDEX(BS,MATCH($B30,BS!$A:$A,0),MATCH(Summary!D$3,BS!$3:$3,0)),0)</f>
        <v>8308312.7330772597</v>
      </c>
      <c r="E30" s="324">
        <f ca="1">IFERROR(INDEX(BS,MATCH($B30,BS!$A:$A,0),MATCH(Summary!E$3,BS!$3:$3,0)),0)</f>
        <v>6410800.998465376</v>
      </c>
      <c r="F30" s="324">
        <f ca="1">IFERROR(INDEX(BS,MATCH($B30,BS!$A:$A,0),MATCH(Summary!F$3,BS!$3:$3,0)),0)</f>
        <v>7567498.1749683423</v>
      </c>
      <c r="G30" s="324">
        <f ca="1">IFERROR(INDEX(BS,MATCH($B30,BS!$A:$A,0),MATCH(Summary!G$3,BS!$3:$3,0)),0)</f>
        <v>289822.76762499998</v>
      </c>
      <c r="H30" s="325">
        <f ca="1">IFERROR(INDEX(BS,MATCH($B30,BS!$A:$A,0),MATCH(Summary!H$3,BS!$3:$3,0)),0)</f>
        <v>249302.80901249382</v>
      </c>
      <c r="I30" s="325">
        <f ca="1">IFERROR(INDEX(BS,MATCH($B30,BS!$A:$A,0),MATCH(Summary!I$3,BS!$3:$3,0)),0)</f>
        <v>208950.81285396329</v>
      </c>
      <c r="J30" s="325">
        <f ca="1">IFERROR(INDEX(BS,MATCH($B30,BS!$A:$A,0),MATCH(Summary!J$3,BS!$3:$3,0)),0)</f>
        <v>5168907.280222388</v>
      </c>
      <c r="K30" s="325">
        <f ca="1">IFERROR(INDEX(BS,MATCH($B30,BS!$A:$A,0),MATCH(Summary!K$3,BS!$3:$3,0)),0)</f>
        <v>5129023.4061262552</v>
      </c>
      <c r="L30" s="325">
        <f ca="1">IFERROR(INDEX(BS,MATCH($B30,BS!$A:$A,0),MATCH(Summary!L$3,BS!$3:$3,0)),0)</f>
        <v>5089230.1207917444</v>
      </c>
      <c r="M30" s="325">
        <f ca="1">IFERROR(INDEX(BS,MATCH($B30,BS!$A:$A,0),MATCH(Summary!M$3,BS!$3:$3,0)),0)</f>
        <v>5047539.4603034658</v>
      </c>
      <c r="N30" s="325">
        <f ca="1">IFERROR(INDEX(BS,MATCH($B30,BS!$A:$A,0),MATCH(Summary!N$3,BS!$3:$3,0)),0)</f>
        <v>4994915.6365526747</v>
      </c>
      <c r="O30" s="325">
        <f ca="1">IFERROR(INDEX(BS,MATCH($B30,BS!$A:$A,0),MATCH(Summary!O$3,BS!$3:$3,0)),0)</f>
        <v>4944411.0856390046</v>
      </c>
      <c r="P30" s="325">
        <f ca="1">IFERROR(INDEX(BS,MATCH($B30,BS!$A:$A,0),MATCH(Summary!P$3,BS!$3:$3,0)),0)</f>
        <v>4894985.6753389146</v>
      </c>
      <c r="Q30" s="325">
        <f ca="1">IFERROR(INDEX(BS,MATCH($B30,BS!$A:$A,0),MATCH(Summary!Q$3,BS!$3:$3,0)),0)</f>
        <v>4846197.8778597731</v>
      </c>
      <c r="R30" s="325">
        <f ca="1">IFERROR(INDEX(BS,MATCH($B30,BS!$A:$A,0),MATCH(Summary!R$3,BS!$3:$3,0)),0)</f>
        <v>4797829.6237117751</v>
      </c>
      <c r="S30" s="325">
        <f ca="1">IFERROR(INDEX(BS,MATCH($B30,BS!$A:$A,0),MATCH(Summary!S$3,BS!$3:$3,0)),0)</f>
        <v>4739376.0088523347</v>
      </c>
      <c r="T30" s="325">
        <f ca="1">IFERROR(INDEX(BS,MATCH($B30,BS!$A:$A,0),MATCH(Summary!T$3,BS!$3:$3,0)),0)</f>
        <v>4607981.8528160481</v>
      </c>
      <c r="U30" s="325">
        <f ca="1">IFERROR(INDEX(BS,MATCH($B30,BS!$A:$A,0),MATCH(Summary!U$3,BS!$3:$3,0)),0)</f>
        <v>4485055.3179581026</v>
      </c>
      <c r="V30" s="325">
        <f ca="1">IFERROR(INDEX(BS,MATCH($B30,BS!$A:$A,0),MATCH(Summary!V$3,BS!$3:$3,0)),0)</f>
        <v>4365666.8400497288</v>
      </c>
      <c r="W30" s="325">
        <f ca="1">IFERROR(INDEX(BS,MATCH($B30,BS!$A:$A,0),MATCH(Summary!W$3,BS!$3:$3,0)),0)</f>
        <v>4242836.6532544643</v>
      </c>
      <c r="X30" s="325">
        <f ca="1">IFERROR(INDEX(BS,MATCH($B30,BS!$A:$A,0),MATCH(Summary!X$3,BS!$3:$3,0)),0)</f>
        <v>4123142.1186856721</v>
      </c>
      <c r="Y30" s="325">
        <f ca="1">IFERROR(INDEX(BS,MATCH($B30,BS!$A:$A,0),MATCH(Summary!Y$3,BS!$3:$3,0)),0)</f>
        <v>4002202.8373071118</v>
      </c>
      <c r="Z30" s="325">
        <f ca="1">IFERROR(INDEX(BS,MATCH($B30,BS!$A:$A,0),MATCH(Summary!Z$3,BS!$3:$3,0)),0)</f>
        <v>3867610.7123472681</v>
      </c>
      <c r="AA30" s="325">
        <f ca="1">IFERROR(INDEX(BS,MATCH($B30,BS!$A:$A,0),MATCH(Summary!AA$3,BS!$3:$3,0)),0)</f>
        <v>8732049.0162236746</v>
      </c>
      <c r="AB30" s="325">
        <f ca="1">IFERROR(INDEX(BS,MATCH($B30,BS!$A:$A,0),MATCH(Summary!AB$3,BS!$3:$3,0)),0)</f>
        <v>8596045.2378787827</v>
      </c>
      <c r="AC30" s="325">
        <f ca="1">IFERROR(INDEX(BS,MATCH($B30,BS!$A:$A,0),MATCH(Summary!AC$3,BS!$3:$3,0)),0)</f>
        <v>8451012.5366462879</v>
      </c>
      <c r="AD30" s="325">
        <f ca="1">IFERROR(INDEX(BS,MATCH($B30,BS!$A:$A,0),MATCH(Summary!AD$3,BS!$3:$3,0)),0)</f>
        <v>8308312.7330772597</v>
      </c>
      <c r="AE30" s="325">
        <f ca="1">IFERROR(INDEX(BS,MATCH($B30,BS!$A:$A,0),MATCH(Summary!AE$3,BS!$3:$3,0)),0)</f>
        <v>8171415.6990697207</v>
      </c>
      <c r="AF30" s="325">
        <f ca="1">IFERROR(INDEX(BS,MATCH($B30,BS!$A:$A,0),MATCH(Summary!AF$3,BS!$3:$3,0)),0)</f>
        <v>7987872.2790974863</v>
      </c>
      <c r="AG30" s="325">
        <f ca="1">IFERROR(INDEX(BS,MATCH($B30,BS!$A:$A,0),MATCH(Summary!AG$3,BS!$3:$3,0)),0)</f>
        <v>7817684.281635033</v>
      </c>
      <c r="AH30" s="325">
        <f ca="1">IFERROR(INDEX(BS,MATCH($B30,BS!$A:$A,0),MATCH(Summary!AH$3,BS!$3:$3,0)),0)</f>
        <v>7652888.9842554461</v>
      </c>
      <c r="AI30" s="325">
        <f ca="1">IFERROR(INDEX(BS,MATCH($B30,BS!$A:$A,0),MATCH(Summary!AI$3,BS!$3:$3,0)),0)</f>
        <v>7479702.6826101998</v>
      </c>
      <c r="AJ30" s="325">
        <f ca="1">IFERROR(INDEX(BS,MATCH($B30,BS!$A:$A,0),MATCH(Summary!AJ$3,BS!$3:$3,0)),0)</f>
        <v>7313384.5060575446</v>
      </c>
      <c r="AK30" s="325">
        <f ca="1">IFERROR(INDEX(BS,MATCH($B30,BS!$A:$A,0),MATCH(Summary!AK$3,BS!$3:$3,0)),0)</f>
        <v>7155155.819135827</v>
      </c>
      <c r="AL30" s="325">
        <f ca="1">IFERROR(INDEX(BS,MATCH($B30,BS!$A:$A,0),MATCH(Summary!AL$3,BS!$3:$3,0)),0)</f>
        <v>6997225.6152109765</v>
      </c>
      <c r="AM30" s="325">
        <f ca="1">IFERROR(INDEX(BS,MATCH($B30,BS!$A:$A,0),MATCH(Summary!AM$3,BS!$3:$3,0)),0)</f>
        <v>6846278.1208742512</v>
      </c>
      <c r="AN30" s="325">
        <f ca="1">IFERROR(INDEX(BS,MATCH($B30,BS!$A:$A,0),MATCH(Summary!AN$3,BS!$3:$3,0)),0)</f>
        <v>6702104.2634510677</v>
      </c>
      <c r="AO30" s="325">
        <f ca="1">IFERROR(INDEX(BS,MATCH($B30,BS!$A:$A,0),MATCH(Summary!AO$3,BS!$3:$3,0)),0)</f>
        <v>6551604.6865418879</v>
      </c>
      <c r="AP30" s="325">
        <f ca="1">IFERROR(INDEX(BS,MATCH($B30,BS!$A:$A,0),MATCH(Summary!AP$3,BS!$3:$3,0)),0)</f>
        <v>6410800.998465376</v>
      </c>
      <c r="AQ30" s="325">
        <f ca="1">IFERROR(INDEX(BS,MATCH($B30,BS!$A:$A,0),MATCH(Summary!AQ$3,BS!$3:$3,0)),0)</f>
        <v>6337617.4048372582</v>
      </c>
      <c r="AR30" s="325">
        <f ca="1">IFERROR(INDEX(BS,MATCH($B30,BS!$A:$A,0),MATCH(Summary!AR$3,BS!$3:$3,0)),0)</f>
        <v>6303574.6010916727</v>
      </c>
      <c r="AS30" s="325">
        <f ca="1">IFERROR(INDEX(BS,MATCH($B30,BS!$A:$A,0),MATCH(Summary!AS$3,BS!$3:$3,0)),0)</f>
        <v>6312843.0180859268</v>
      </c>
      <c r="AT30" s="325">
        <f ca="1">IFERROR(INDEX(BS,MATCH($B30,BS!$A:$A,0),MATCH(Summary!AT$3,BS!$3:$3,0)),0)</f>
        <v>6351405.3487638999</v>
      </c>
      <c r="AU30" s="325">
        <f ca="1">IFERROR(INDEX(BS,MATCH($B30,BS!$A:$A,0),MATCH(Summary!AU$3,BS!$3:$3,0)),0)</f>
        <v>6420563.7752064802</v>
      </c>
      <c r="AV30" s="325">
        <f ca="1">IFERROR(INDEX(BS,MATCH($B30,BS!$A:$A,0),MATCH(Summary!AV$3,BS!$3:$3,0)),0)</f>
        <v>6518284.2452688497</v>
      </c>
      <c r="AW30" s="325">
        <f ca="1">IFERROR(INDEX(BS,MATCH($B30,BS!$A:$A,0),MATCH(Summary!AW$3,BS!$3:$3,0)),0)</f>
        <v>6635484.724497756</v>
      </c>
      <c r="AX30" s="325">
        <f ca="1">IFERROR(INDEX(BS,MATCH($B30,BS!$A:$A,0),MATCH(Summary!AX$3,BS!$3:$3,0)),0)</f>
        <v>6779443.5358441938</v>
      </c>
      <c r="AY30" s="325">
        <f ca="1">IFERROR(INDEX(BS,MATCH($B30,BS!$A:$A,0),MATCH(Summary!AY$3,BS!$3:$3,0)),0)</f>
        <v>6947544.9348904733</v>
      </c>
      <c r="AZ30" s="325">
        <f ca="1">IFERROR(INDEX(BS,MATCH($B30,BS!$A:$A,0),MATCH(Summary!AZ$3,BS!$3:$3,0)),0)</f>
        <v>7134203.6412060633</v>
      </c>
      <c r="BA30" s="325">
        <f ca="1">IFERROR(INDEX(BS,MATCH($B30,BS!$A:$A,0),MATCH(Summary!BA$3,BS!$3:$3,0)),0)</f>
        <v>7337675.2510568537</v>
      </c>
      <c r="BB30" s="325">
        <f ca="1">IFERROR(INDEX(BS,MATCH($B30,BS!$A:$A,0),MATCH(Summary!BB$3,BS!$3:$3,0)),0)</f>
        <v>7567498.1749683423</v>
      </c>
      <c r="BC30" s="66"/>
      <c r="BD30" s="66"/>
      <c r="BE30" s="66"/>
      <c r="BF30" s="66"/>
      <c r="BG30" s="66"/>
      <c r="BH30" s="66"/>
    </row>
    <row r="31" spans="1:60" s="296" customFormat="1" ht="12.75" customHeight="1" x14ac:dyDescent="0.15">
      <c r="A31" s="311"/>
      <c r="B31" s="311"/>
      <c r="C31" s="308"/>
      <c r="D31" s="312"/>
      <c r="E31" s="312"/>
      <c r="F31" s="312"/>
      <c r="G31" s="312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</row>
    <row r="32" spans="1:60" s="67" customFormat="1" ht="12.75" customHeight="1" x14ac:dyDescent="0.15">
      <c r="A32" s="313" t="s">
        <v>14</v>
      </c>
      <c r="B32" s="313"/>
      <c r="C32" s="304"/>
      <c r="D32" s="60"/>
      <c r="E32" s="60"/>
      <c r="F32" s="60"/>
      <c r="G32" s="60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296" customFormat="1" ht="12.75" customHeight="1" x14ac:dyDescent="0.15">
      <c r="A33" s="95" t="s">
        <v>15</v>
      </c>
      <c r="B33" s="86" t="s">
        <v>15</v>
      </c>
      <c r="C33" s="321">
        <f ca="1">IFERROR(INDEX(BS,MATCH($B33,BS!$A:$A,0),MATCH(Summary!C$3,BS!$3:$3,0)),0)</f>
        <v>43898.574112363101</v>
      </c>
      <c r="D33" s="322">
        <f ca="1">IFERROR(INDEX(BS,MATCH($B33,BS!$A:$A,0),MATCH(Summary!D$3,BS!$3:$3,0)),0)</f>
        <v>170006.97237901401</v>
      </c>
      <c r="E33" s="322">
        <f ca="1">IFERROR(INDEX(BS,MATCH($B33,BS!$A:$A,0),MATCH(Summary!E$3,BS!$3:$3,0)),0)</f>
        <v>283408.7856593983</v>
      </c>
      <c r="F33" s="322">
        <f ca="1">IFERROR(INDEX(BS,MATCH($B33,BS!$A:$A,0),MATCH(Summary!F$3,BS!$3:$3,0)),0)</f>
        <v>360817.04105689778</v>
      </c>
      <c r="G33" s="322">
        <f ca="1">IFERROR(INDEX(BS,MATCH($B33,BS!$A:$A,0),MATCH(Summary!G$3,BS!$3:$3,0)),0)</f>
        <v>30682.774583333336</v>
      </c>
      <c r="H33" s="323">
        <f ca="1">IFERROR(INDEX(BS,MATCH($B33,BS!$A:$A,0),MATCH(Summary!H$3,BS!$3:$3,0)),0)</f>
        <v>30690.676558836676</v>
      </c>
      <c r="I33" s="323">
        <f ca="1">IFERROR(INDEX(BS,MATCH($B33,BS!$A:$A,0),MATCH(Summary!I$3,BS!$3:$3,0)),0)</f>
        <v>30694.763261303269</v>
      </c>
      <c r="J33" s="323">
        <f ca="1">IFERROR(INDEX(BS,MATCH($B33,BS!$A:$A,0),MATCH(Summary!J$3,BS!$3:$3,0)),0)</f>
        <v>30702.026241072923</v>
      </c>
      <c r="K33" s="323">
        <f ca="1">IFERROR(INDEX(BS,MATCH($B33,BS!$A:$A,0),MATCH(Summary!K$3,BS!$3:$3,0)),0)</f>
        <v>30705.90512988501</v>
      </c>
      <c r="L33" s="323">
        <f ca="1">IFERROR(INDEX(BS,MATCH($B33,BS!$A:$A,0),MATCH(Summary!L$3,BS!$3:$3,0)),0)</f>
        <v>30708.10035026689</v>
      </c>
      <c r="M33" s="323">
        <f ca="1">IFERROR(INDEX(BS,MATCH($B33,BS!$A:$A,0),MATCH(Summary!M$3,BS!$3:$3,0)),0)</f>
        <v>43747.463987885087</v>
      </c>
      <c r="N33" s="323">
        <f ca="1">IFERROR(INDEX(BS,MATCH($B33,BS!$A:$A,0),MATCH(Summary!N$3,BS!$3:$3,0)),0)</f>
        <v>43796.407451288025</v>
      </c>
      <c r="O33" s="323">
        <f ca="1">IFERROR(INDEX(BS,MATCH($B33,BS!$A:$A,0),MATCH(Summary!O$3,BS!$3:$3,0)),0)</f>
        <v>43846.79202837222</v>
      </c>
      <c r="P33" s="323">
        <f ca="1">IFERROR(INDEX(BS,MATCH($B33,BS!$A:$A,0),MATCH(Summary!P$3,BS!$3:$3,0)),0)</f>
        <v>43873.039709022836</v>
      </c>
      <c r="Q33" s="323">
        <f ca="1">IFERROR(INDEX(BS,MATCH($B33,BS!$A:$A,0),MATCH(Summary!Q$3,BS!$3:$3,0)),0)</f>
        <v>43888.46636668974</v>
      </c>
      <c r="R33" s="323">
        <f ca="1">IFERROR(INDEX(BS,MATCH($B33,BS!$A:$A,0),MATCH(Summary!R$3,BS!$3:$3,0)),0)</f>
        <v>43898.574112363101</v>
      </c>
      <c r="S33" s="323">
        <f ca="1">IFERROR(INDEX(BS,MATCH($B33,BS!$A:$A,0),MATCH(Summary!S$3,BS!$3:$3,0)),0)</f>
        <v>128077.62465020991</v>
      </c>
      <c r="T33" s="323">
        <f ca="1">IFERROR(INDEX(BS,MATCH($B33,BS!$A:$A,0),MATCH(Summary!T$3,BS!$3:$3,0)),0)</f>
        <v>128338.78288478003</v>
      </c>
      <c r="U33" s="323">
        <f ca="1">IFERROR(INDEX(BS,MATCH($B33,BS!$A:$A,0),MATCH(Summary!U$3,BS!$3:$3,0)),0)</f>
        <v>128541.62051637364</v>
      </c>
      <c r="V33" s="323">
        <f ca="1">IFERROR(INDEX(BS,MATCH($B33,BS!$A:$A,0),MATCH(Summary!V$3,BS!$3:$3,0)),0)</f>
        <v>136314.28948175703</v>
      </c>
      <c r="W33" s="323">
        <f ca="1">IFERROR(INDEX(BS,MATCH($B33,BS!$A:$A,0),MATCH(Summary!W$3,BS!$3:$3,0)),0)</f>
        <v>136422.17037875322</v>
      </c>
      <c r="X33" s="323">
        <f ca="1">IFERROR(INDEX(BS,MATCH($B33,BS!$A:$A,0),MATCH(Summary!X$3,BS!$3:$3,0)),0)</f>
        <v>136510.20733828898</v>
      </c>
      <c r="Y33" s="323">
        <f ca="1">IFERROR(INDEX(BS,MATCH($B33,BS!$A:$A,0),MATCH(Summary!Y$3,BS!$3:$3,0)),0)</f>
        <v>152601.74164101633</v>
      </c>
      <c r="Z33" s="323">
        <f ca="1">IFERROR(INDEX(BS,MATCH($B33,BS!$A:$A,0),MATCH(Summary!Z$3,BS!$3:$3,0)),0)</f>
        <v>157715.41496390509</v>
      </c>
      <c r="AA33" s="323">
        <f ca="1">IFERROR(INDEX(BS,MATCH($B33,BS!$A:$A,0),MATCH(Summary!AA$3,BS!$3:$3,0)),0)</f>
        <v>157935.44311831344</v>
      </c>
      <c r="AB33" s="323">
        <f ca="1">IFERROR(INDEX(BS,MATCH($B33,BS!$A:$A,0),MATCH(Summary!AB$3,BS!$3:$3,0)),0)</f>
        <v>169734.05019135957</v>
      </c>
      <c r="AC33" s="323">
        <f ca="1">IFERROR(INDEX(BS,MATCH($B33,BS!$A:$A,0),MATCH(Summary!AC$3,BS!$3:$3,0)),0)</f>
        <v>169878.54773557972</v>
      </c>
      <c r="AD33" s="323">
        <f ca="1">IFERROR(INDEX(BS,MATCH($B33,BS!$A:$A,0),MATCH(Summary!AD$3,BS!$3:$3,0)),0)</f>
        <v>170006.97237901401</v>
      </c>
      <c r="AE33" s="323">
        <f ca="1">IFERROR(INDEX(BS,MATCH($B33,BS!$A:$A,0),MATCH(Summary!AE$3,BS!$3:$3,0)),0)</f>
        <v>235525.97572858652</v>
      </c>
      <c r="AF33" s="323">
        <f ca="1">IFERROR(INDEX(BS,MATCH($B33,BS!$A:$A,0),MATCH(Summary!AF$3,BS!$3:$3,0)),0)</f>
        <v>236547.29951824711</v>
      </c>
      <c r="AG33" s="323">
        <f ca="1">IFERROR(INDEX(BS,MATCH($B33,BS!$A:$A,0),MATCH(Summary!AG$3,BS!$3:$3,0)),0)</f>
        <v>237321.26202559381</v>
      </c>
      <c r="AH33" s="323">
        <f ca="1">IFERROR(INDEX(BS,MATCH($B33,BS!$A:$A,0),MATCH(Summary!AH$3,BS!$3:$3,0)),0)</f>
        <v>254636.53904393682</v>
      </c>
      <c r="AI33" s="323">
        <f ca="1">IFERROR(INDEX(BS,MATCH($B33,BS!$A:$A,0),MATCH(Summary!AI$3,BS!$3:$3,0)),0)</f>
        <v>255110.52986957206</v>
      </c>
      <c r="AJ33" s="323">
        <f ca="1">IFERROR(INDEX(BS,MATCH($B33,BS!$A:$A,0),MATCH(Summary!AJ$3,BS!$3:$3,0)),0)</f>
        <v>255497.48747552111</v>
      </c>
      <c r="AK33" s="323">
        <f ca="1">IFERROR(INDEX(BS,MATCH($B33,BS!$A:$A,0),MATCH(Summary!AK$3,BS!$3:$3,0)),0)</f>
        <v>264053.2148156655</v>
      </c>
      <c r="AL33" s="323">
        <f ca="1">IFERROR(INDEX(BS,MATCH($B33,BS!$A:$A,0),MATCH(Summary!AL$3,BS!$3:$3,0)),0)</f>
        <v>264521.55752027238</v>
      </c>
      <c r="AM33" s="323">
        <f ca="1">IFERROR(INDEX(BS,MATCH($B33,BS!$A:$A,0),MATCH(Summary!AM$3,BS!$3:$3,0)),0)</f>
        <v>264912.72345517768</v>
      </c>
      <c r="AN33" s="323">
        <f ca="1">IFERROR(INDEX(BS,MATCH($B33,BS!$A:$A,0),MATCH(Summary!AN$3,BS!$3:$3,0)),0)</f>
        <v>282278.91014570795</v>
      </c>
      <c r="AO33" s="323">
        <f ca="1">IFERROR(INDEX(BS,MATCH($B33,BS!$A:$A,0),MATCH(Summary!AO$3,BS!$3:$3,0)),0)</f>
        <v>282864.91405605478</v>
      </c>
      <c r="AP33" s="323">
        <f ca="1">IFERROR(INDEX(BS,MATCH($B33,BS!$A:$A,0),MATCH(Summary!AP$3,BS!$3:$3,0)),0)</f>
        <v>283408.7856593983</v>
      </c>
      <c r="AQ33" s="323">
        <f ca="1">IFERROR(INDEX(BS,MATCH($B33,BS!$A:$A,0),MATCH(Summary!AQ$3,BS!$3:$3,0)),0)</f>
        <v>303930.46136834228</v>
      </c>
      <c r="AR33" s="323">
        <f ca="1">IFERROR(INDEX(BS,MATCH($B33,BS!$A:$A,0),MATCH(Summary!AR$3,BS!$3:$3,0)),0)</f>
        <v>307163.45889742166</v>
      </c>
      <c r="AS33" s="323">
        <f ca="1">IFERROR(INDEX(BS,MATCH($B33,BS!$A:$A,0),MATCH(Summary!AS$3,BS!$3:$3,0)),0)</f>
        <v>318963.85146501253</v>
      </c>
      <c r="AT33" s="323">
        <f ca="1">IFERROR(INDEX(BS,MATCH($B33,BS!$A:$A,0),MATCH(Summary!AT$3,BS!$3:$3,0)),0)</f>
        <v>325569.7466254757</v>
      </c>
      <c r="AU33" s="323">
        <f ca="1">IFERROR(INDEX(BS,MATCH($B33,BS!$A:$A,0),MATCH(Summary!AU$3,BS!$3:$3,0)),0)</f>
        <v>327561.85790344875</v>
      </c>
      <c r="AV33" s="323">
        <f ca="1">IFERROR(INDEX(BS,MATCH($B33,BS!$A:$A,0),MATCH(Summary!AV$3,BS!$3:$3,0)),0)</f>
        <v>338477.55072645657</v>
      </c>
      <c r="AW33" s="323">
        <f ca="1">IFERROR(INDEX(BS,MATCH($B33,BS!$A:$A,0),MATCH(Summary!AW$3,BS!$3:$3,0)),0)</f>
        <v>340092.33382179902</v>
      </c>
      <c r="AX33" s="323">
        <f ca="1">IFERROR(INDEX(BS,MATCH($B33,BS!$A:$A,0),MATCH(Summary!AX$3,BS!$3:$3,0)),0)</f>
        <v>341594.52523079846</v>
      </c>
      <c r="AY33" s="323">
        <f ca="1">IFERROR(INDEX(BS,MATCH($B33,BS!$A:$A,0),MATCH(Summary!AY$3,BS!$3:$3,0)),0)</f>
        <v>347343.36007139523</v>
      </c>
      <c r="AZ33" s="323">
        <f ca="1">IFERROR(INDEX(BS,MATCH($B33,BS!$A:$A,0),MATCH(Summary!AZ$3,BS!$3:$3,0)),0)</f>
        <v>357909.76354192098</v>
      </c>
      <c r="BA33" s="323">
        <f ca="1">IFERROR(INDEX(BS,MATCH($B33,BS!$A:$A,0),MATCH(Summary!BA$3,BS!$3:$3,0)),0)</f>
        <v>359352.79352806852</v>
      </c>
      <c r="BB33" s="323">
        <f ca="1">IFERROR(INDEX(BS,MATCH($B33,BS!$A:$A,0),MATCH(Summary!BB$3,BS!$3:$3,0)),0)</f>
        <v>360817.04105689778</v>
      </c>
      <c r="BC33" s="299"/>
      <c r="BD33" s="299"/>
      <c r="BE33" s="299"/>
      <c r="BF33" s="299"/>
      <c r="BG33" s="299"/>
      <c r="BH33" s="299"/>
    </row>
    <row r="34" spans="1:60" s="296" customFormat="1" ht="12.75" customHeight="1" x14ac:dyDescent="0.15">
      <c r="A34" s="95" t="s">
        <v>67</v>
      </c>
      <c r="B34" s="86" t="s">
        <v>67</v>
      </c>
      <c r="C34" s="321">
        <f>IFERROR(INDEX(BS,MATCH($B34,BS!$A:$A,0),MATCH(Summary!C$3,BS!$3:$3,0)),0)</f>
        <v>300000</v>
      </c>
      <c r="D34" s="322">
        <f>IFERROR(INDEX(BS,MATCH($B34,BS!$A:$A,0),MATCH(Summary!D$3,BS!$3:$3,0)),0)</f>
        <v>300000</v>
      </c>
      <c r="E34" s="322">
        <f>IFERROR(INDEX(BS,MATCH($B34,BS!$A:$A,0),MATCH(Summary!E$3,BS!$3:$3,0)),0)</f>
        <v>300000</v>
      </c>
      <c r="F34" s="322">
        <f>IFERROR(INDEX(BS,MATCH($B34,BS!$A:$A,0),MATCH(Summary!F$3,BS!$3:$3,0)),0)</f>
        <v>300000</v>
      </c>
      <c r="G34" s="322">
        <f>IFERROR(INDEX(BS,MATCH($B34,BS!$A:$A,0),MATCH(Summary!G$3,BS!$3:$3,0)),0)</f>
        <v>300000</v>
      </c>
      <c r="H34" s="323">
        <f>IFERROR(INDEX(BS,MATCH($B34,BS!$A:$A,0),MATCH(Summary!H$3,BS!$3:$3,0)),0)</f>
        <v>300000</v>
      </c>
      <c r="I34" s="323">
        <f>IFERROR(INDEX(BS,MATCH($B34,BS!$A:$A,0),MATCH(Summary!I$3,BS!$3:$3,0)),0)</f>
        <v>300000</v>
      </c>
      <c r="J34" s="323">
        <f>IFERROR(INDEX(BS,MATCH($B34,BS!$A:$A,0),MATCH(Summary!J$3,BS!$3:$3,0)),0)</f>
        <v>300000</v>
      </c>
      <c r="K34" s="323">
        <f>IFERROR(INDEX(BS,MATCH($B34,BS!$A:$A,0),MATCH(Summary!K$3,BS!$3:$3,0)),0)</f>
        <v>300000</v>
      </c>
      <c r="L34" s="323">
        <f>IFERROR(INDEX(BS,MATCH($B34,BS!$A:$A,0),MATCH(Summary!L$3,BS!$3:$3,0)),0)</f>
        <v>300000</v>
      </c>
      <c r="M34" s="323">
        <f>IFERROR(INDEX(BS,MATCH($B34,BS!$A:$A,0),MATCH(Summary!M$3,BS!$3:$3,0)),0)</f>
        <v>300000</v>
      </c>
      <c r="N34" s="323">
        <f>IFERROR(INDEX(BS,MATCH($B34,BS!$A:$A,0),MATCH(Summary!N$3,BS!$3:$3,0)),0)</f>
        <v>300000</v>
      </c>
      <c r="O34" s="323">
        <f>IFERROR(INDEX(BS,MATCH($B34,BS!$A:$A,0),MATCH(Summary!O$3,BS!$3:$3,0)),0)</f>
        <v>300000</v>
      </c>
      <c r="P34" s="323">
        <f>IFERROR(INDEX(BS,MATCH($B34,BS!$A:$A,0),MATCH(Summary!P$3,BS!$3:$3,0)),0)</f>
        <v>300000</v>
      </c>
      <c r="Q34" s="323">
        <f>IFERROR(INDEX(BS,MATCH($B34,BS!$A:$A,0),MATCH(Summary!Q$3,BS!$3:$3,0)),0)</f>
        <v>300000</v>
      </c>
      <c r="R34" s="323">
        <f>IFERROR(INDEX(BS,MATCH($B34,BS!$A:$A,0),MATCH(Summary!R$3,BS!$3:$3,0)),0)</f>
        <v>300000</v>
      </c>
      <c r="S34" s="323">
        <f>IFERROR(INDEX(BS,MATCH($B34,BS!$A:$A,0),MATCH(Summary!S$3,BS!$3:$3,0)),0)</f>
        <v>300000</v>
      </c>
      <c r="T34" s="323">
        <f>IFERROR(INDEX(BS,MATCH($B34,BS!$A:$A,0),MATCH(Summary!T$3,BS!$3:$3,0)),0)</f>
        <v>300000</v>
      </c>
      <c r="U34" s="323">
        <f>IFERROR(INDEX(BS,MATCH($B34,BS!$A:$A,0),MATCH(Summary!U$3,BS!$3:$3,0)),0)</f>
        <v>300000</v>
      </c>
      <c r="V34" s="323">
        <f>IFERROR(INDEX(BS,MATCH($B34,BS!$A:$A,0),MATCH(Summary!V$3,BS!$3:$3,0)),0)</f>
        <v>300000</v>
      </c>
      <c r="W34" s="323">
        <f>IFERROR(INDEX(BS,MATCH($B34,BS!$A:$A,0),MATCH(Summary!W$3,BS!$3:$3,0)),0)</f>
        <v>300000</v>
      </c>
      <c r="X34" s="323">
        <f>IFERROR(INDEX(BS,MATCH($B34,BS!$A:$A,0),MATCH(Summary!X$3,BS!$3:$3,0)),0)</f>
        <v>300000</v>
      </c>
      <c r="Y34" s="323">
        <f>IFERROR(INDEX(BS,MATCH($B34,BS!$A:$A,0),MATCH(Summary!Y$3,BS!$3:$3,0)),0)</f>
        <v>300000</v>
      </c>
      <c r="Z34" s="323">
        <f>IFERROR(INDEX(BS,MATCH($B34,BS!$A:$A,0),MATCH(Summary!Z$3,BS!$3:$3,0)),0)</f>
        <v>300000</v>
      </c>
      <c r="AA34" s="323">
        <f>IFERROR(INDEX(BS,MATCH($B34,BS!$A:$A,0),MATCH(Summary!AA$3,BS!$3:$3,0)),0)</f>
        <v>300000</v>
      </c>
      <c r="AB34" s="323">
        <f>IFERROR(INDEX(BS,MATCH($B34,BS!$A:$A,0),MATCH(Summary!AB$3,BS!$3:$3,0)),0)</f>
        <v>300000</v>
      </c>
      <c r="AC34" s="323">
        <f>IFERROR(INDEX(BS,MATCH($B34,BS!$A:$A,0),MATCH(Summary!AC$3,BS!$3:$3,0)),0)</f>
        <v>300000</v>
      </c>
      <c r="AD34" s="323">
        <f>IFERROR(INDEX(BS,MATCH($B34,BS!$A:$A,0),MATCH(Summary!AD$3,BS!$3:$3,0)),0)</f>
        <v>300000</v>
      </c>
      <c r="AE34" s="323">
        <f>IFERROR(INDEX(BS,MATCH($B34,BS!$A:$A,0),MATCH(Summary!AE$3,BS!$3:$3,0)),0)</f>
        <v>300000</v>
      </c>
      <c r="AF34" s="323">
        <f>IFERROR(INDEX(BS,MATCH($B34,BS!$A:$A,0),MATCH(Summary!AF$3,BS!$3:$3,0)),0)</f>
        <v>300000</v>
      </c>
      <c r="AG34" s="323">
        <f>IFERROR(INDEX(BS,MATCH($B34,BS!$A:$A,0),MATCH(Summary!AG$3,BS!$3:$3,0)),0)</f>
        <v>300000</v>
      </c>
      <c r="AH34" s="323">
        <f>IFERROR(INDEX(BS,MATCH($B34,BS!$A:$A,0),MATCH(Summary!AH$3,BS!$3:$3,0)),0)</f>
        <v>300000</v>
      </c>
      <c r="AI34" s="323">
        <f>IFERROR(INDEX(BS,MATCH($B34,BS!$A:$A,0),MATCH(Summary!AI$3,BS!$3:$3,0)),0)</f>
        <v>300000</v>
      </c>
      <c r="AJ34" s="323">
        <f>IFERROR(INDEX(BS,MATCH($B34,BS!$A:$A,0),MATCH(Summary!AJ$3,BS!$3:$3,0)),0)</f>
        <v>300000</v>
      </c>
      <c r="AK34" s="323">
        <f>IFERROR(INDEX(BS,MATCH($B34,BS!$A:$A,0),MATCH(Summary!AK$3,BS!$3:$3,0)),0)</f>
        <v>300000</v>
      </c>
      <c r="AL34" s="323">
        <f>IFERROR(INDEX(BS,MATCH($B34,BS!$A:$A,0),MATCH(Summary!AL$3,BS!$3:$3,0)),0)</f>
        <v>300000</v>
      </c>
      <c r="AM34" s="323">
        <f>IFERROR(INDEX(BS,MATCH($B34,BS!$A:$A,0),MATCH(Summary!AM$3,BS!$3:$3,0)),0)</f>
        <v>300000</v>
      </c>
      <c r="AN34" s="323">
        <f>IFERROR(INDEX(BS,MATCH($B34,BS!$A:$A,0),MATCH(Summary!AN$3,BS!$3:$3,0)),0)</f>
        <v>300000</v>
      </c>
      <c r="AO34" s="323">
        <f>IFERROR(INDEX(BS,MATCH($B34,BS!$A:$A,0),MATCH(Summary!AO$3,BS!$3:$3,0)),0)</f>
        <v>300000</v>
      </c>
      <c r="AP34" s="323">
        <f>IFERROR(INDEX(BS,MATCH($B34,BS!$A:$A,0),MATCH(Summary!AP$3,BS!$3:$3,0)),0)</f>
        <v>300000</v>
      </c>
      <c r="AQ34" s="323">
        <f>IFERROR(INDEX(BS,MATCH($B34,BS!$A:$A,0),MATCH(Summary!AQ$3,BS!$3:$3,0)),0)</f>
        <v>300000</v>
      </c>
      <c r="AR34" s="323">
        <f>IFERROR(INDEX(BS,MATCH($B34,BS!$A:$A,0),MATCH(Summary!AR$3,BS!$3:$3,0)),0)</f>
        <v>300000</v>
      </c>
      <c r="AS34" s="323">
        <f>IFERROR(INDEX(BS,MATCH($B34,BS!$A:$A,0),MATCH(Summary!AS$3,BS!$3:$3,0)),0)</f>
        <v>300000</v>
      </c>
      <c r="AT34" s="323">
        <f>IFERROR(INDEX(BS,MATCH($B34,BS!$A:$A,0),MATCH(Summary!AT$3,BS!$3:$3,0)),0)</f>
        <v>300000</v>
      </c>
      <c r="AU34" s="323">
        <f>IFERROR(INDEX(BS,MATCH($B34,BS!$A:$A,0),MATCH(Summary!AU$3,BS!$3:$3,0)),0)</f>
        <v>300000</v>
      </c>
      <c r="AV34" s="323">
        <f>IFERROR(INDEX(BS,MATCH($B34,BS!$A:$A,0),MATCH(Summary!AV$3,BS!$3:$3,0)),0)</f>
        <v>300000</v>
      </c>
      <c r="AW34" s="323">
        <f>IFERROR(INDEX(BS,MATCH($B34,BS!$A:$A,0),MATCH(Summary!AW$3,BS!$3:$3,0)),0)</f>
        <v>300000</v>
      </c>
      <c r="AX34" s="323">
        <f>IFERROR(INDEX(BS,MATCH($B34,BS!$A:$A,0),MATCH(Summary!AX$3,BS!$3:$3,0)),0)</f>
        <v>300000</v>
      </c>
      <c r="AY34" s="323">
        <f>IFERROR(INDEX(BS,MATCH($B34,BS!$A:$A,0),MATCH(Summary!AY$3,BS!$3:$3,0)),0)</f>
        <v>300000</v>
      </c>
      <c r="AZ34" s="323">
        <f>IFERROR(INDEX(BS,MATCH($B34,BS!$A:$A,0),MATCH(Summary!AZ$3,BS!$3:$3,0)),0)</f>
        <v>300000</v>
      </c>
      <c r="BA34" s="323">
        <f>IFERROR(INDEX(BS,MATCH($B34,BS!$A:$A,0),MATCH(Summary!BA$3,BS!$3:$3,0)),0)</f>
        <v>300000</v>
      </c>
      <c r="BB34" s="323">
        <f>IFERROR(INDEX(BS,MATCH($B34,BS!$A:$A,0),MATCH(Summary!BB$3,BS!$3:$3,0)),0)</f>
        <v>300000</v>
      </c>
      <c r="BC34" s="299"/>
      <c r="BD34" s="299"/>
      <c r="BE34" s="299"/>
      <c r="BF34" s="299"/>
      <c r="BG34" s="299"/>
      <c r="BH34" s="299"/>
    </row>
    <row r="35" spans="1:60" s="296" customFormat="1" ht="12.75" customHeight="1" x14ac:dyDescent="0.15">
      <c r="A35" s="95" t="s">
        <v>52</v>
      </c>
      <c r="B35" s="287" t="s">
        <v>27</v>
      </c>
      <c r="C35" s="321">
        <f ca="1">C36-C34-C33</f>
        <v>0</v>
      </c>
      <c r="D35" s="322">
        <f t="shared" ref="D35:BB35" ca="1" si="6">D36-D34-D33</f>
        <v>0</v>
      </c>
      <c r="E35" s="322">
        <f t="shared" ca="1" si="6"/>
        <v>0</v>
      </c>
      <c r="F35" s="322">
        <f t="shared" ca="1" si="6"/>
        <v>0</v>
      </c>
      <c r="G35" s="322">
        <f t="shared" ca="1" si="6"/>
        <v>0</v>
      </c>
      <c r="H35" s="323">
        <f t="shared" ca="1" si="6"/>
        <v>0</v>
      </c>
      <c r="I35" s="323">
        <f t="shared" ca="1" si="6"/>
        <v>0</v>
      </c>
      <c r="J35" s="323">
        <f t="shared" ca="1" si="6"/>
        <v>0</v>
      </c>
      <c r="K35" s="323">
        <f t="shared" ca="1" si="6"/>
        <v>0</v>
      </c>
      <c r="L35" s="323">
        <f t="shared" ca="1" si="6"/>
        <v>0</v>
      </c>
      <c r="M35" s="323">
        <f t="shared" ca="1" si="6"/>
        <v>0</v>
      </c>
      <c r="N35" s="323">
        <f t="shared" ca="1" si="6"/>
        <v>0</v>
      </c>
      <c r="O35" s="323">
        <f t="shared" ca="1" si="6"/>
        <v>0</v>
      </c>
      <c r="P35" s="323">
        <f t="shared" ca="1" si="6"/>
        <v>0</v>
      </c>
      <c r="Q35" s="323">
        <f t="shared" ca="1" si="6"/>
        <v>0</v>
      </c>
      <c r="R35" s="323">
        <f t="shared" ca="1" si="6"/>
        <v>0</v>
      </c>
      <c r="S35" s="323">
        <f t="shared" ca="1" si="6"/>
        <v>0</v>
      </c>
      <c r="T35" s="323">
        <f t="shared" ca="1" si="6"/>
        <v>0</v>
      </c>
      <c r="U35" s="323">
        <f t="shared" ca="1" si="6"/>
        <v>0</v>
      </c>
      <c r="V35" s="323">
        <f t="shared" ca="1" si="6"/>
        <v>0</v>
      </c>
      <c r="W35" s="323">
        <f t="shared" ca="1" si="6"/>
        <v>0</v>
      </c>
      <c r="X35" s="323">
        <f t="shared" ca="1" si="6"/>
        <v>0</v>
      </c>
      <c r="Y35" s="323">
        <f t="shared" ca="1" si="6"/>
        <v>0</v>
      </c>
      <c r="Z35" s="323">
        <f t="shared" ca="1" si="6"/>
        <v>0</v>
      </c>
      <c r="AA35" s="323">
        <f t="shared" ca="1" si="6"/>
        <v>0</v>
      </c>
      <c r="AB35" s="323">
        <f t="shared" ca="1" si="6"/>
        <v>0</v>
      </c>
      <c r="AC35" s="323">
        <f t="shared" ca="1" si="6"/>
        <v>0</v>
      </c>
      <c r="AD35" s="323">
        <f t="shared" ca="1" si="6"/>
        <v>0</v>
      </c>
      <c r="AE35" s="323">
        <f t="shared" ca="1" si="6"/>
        <v>0</v>
      </c>
      <c r="AF35" s="323">
        <f t="shared" ca="1" si="6"/>
        <v>0</v>
      </c>
      <c r="AG35" s="323">
        <f t="shared" ca="1" si="6"/>
        <v>0</v>
      </c>
      <c r="AH35" s="323">
        <f t="shared" ca="1" si="6"/>
        <v>0</v>
      </c>
      <c r="AI35" s="323">
        <f t="shared" ca="1" si="6"/>
        <v>0</v>
      </c>
      <c r="AJ35" s="323">
        <f t="shared" ca="1" si="6"/>
        <v>0</v>
      </c>
      <c r="AK35" s="323">
        <f t="shared" ca="1" si="6"/>
        <v>0</v>
      </c>
      <c r="AL35" s="323">
        <f t="shared" ca="1" si="6"/>
        <v>0</v>
      </c>
      <c r="AM35" s="323">
        <f t="shared" ca="1" si="6"/>
        <v>0</v>
      </c>
      <c r="AN35" s="323">
        <f t="shared" ca="1" si="6"/>
        <v>0</v>
      </c>
      <c r="AO35" s="323">
        <f t="shared" ca="1" si="6"/>
        <v>0</v>
      </c>
      <c r="AP35" s="323">
        <f t="shared" ca="1" si="6"/>
        <v>0</v>
      </c>
      <c r="AQ35" s="323">
        <f t="shared" ca="1" si="6"/>
        <v>0</v>
      </c>
      <c r="AR35" s="323">
        <f t="shared" ca="1" si="6"/>
        <v>0</v>
      </c>
      <c r="AS35" s="323">
        <f t="shared" ca="1" si="6"/>
        <v>0</v>
      </c>
      <c r="AT35" s="323">
        <f t="shared" ca="1" si="6"/>
        <v>0</v>
      </c>
      <c r="AU35" s="323">
        <f t="shared" ca="1" si="6"/>
        <v>0</v>
      </c>
      <c r="AV35" s="323">
        <f t="shared" ca="1" si="6"/>
        <v>0</v>
      </c>
      <c r="AW35" s="323">
        <f t="shared" ca="1" si="6"/>
        <v>0</v>
      </c>
      <c r="AX35" s="323">
        <f t="shared" ca="1" si="6"/>
        <v>0</v>
      </c>
      <c r="AY35" s="323">
        <f t="shared" ca="1" si="6"/>
        <v>0</v>
      </c>
      <c r="AZ35" s="323">
        <f t="shared" ca="1" si="6"/>
        <v>0</v>
      </c>
      <c r="BA35" s="323">
        <f t="shared" ca="1" si="6"/>
        <v>0</v>
      </c>
      <c r="BB35" s="323">
        <f t="shared" ca="1" si="6"/>
        <v>0</v>
      </c>
      <c r="BC35" s="299"/>
      <c r="BD35" s="299"/>
      <c r="BE35" s="299"/>
      <c r="BF35" s="299"/>
      <c r="BG35" s="299"/>
      <c r="BH35" s="299"/>
    </row>
    <row r="36" spans="1:60" s="67" customFormat="1" ht="12.75" customHeight="1" x14ac:dyDescent="0.15">
      <c r="A36" s="313" t="s">
        <v>16</v>
      </c>
      <c r="B36" s="313" t="s">
        <v>16</v>
      </c>
      <c r="C36" s="318">
        <f ca="1">IFERROR(INDEX(BS,MATCH($B36,BS!$A:$A,0),MATCH(Summary!C$3,BS!$3:$3,0)),0)</f>
        <v>343898.5741123631</v>
      </c>
      <c r="D36" s="324">
        <f ca="1">IFERROR(INDEX(BS,MATCH($B36,BS!$A:$A,0),MATCH(Summary!D$3,BS!$3:$3,0)),0)</f>
        <v>470006.97237901401</v>
      </c>
      <c r="E36" s="324">
        <f ca="1">IFERROR(INDEX(BS,MATCH($B36,BS!$A:$A,0),MATCH(Summary!E$3,BS!$3:$3,0)),0)</f>
        <v>583408.7856593983</v>
      </c>
      <c r="F36" s="324">
        <f ca="1">IFERROR(INDEX(BS,MATCH($B36,BS!$A:$A,0),MATCH(Summary!F$3,BS!$3:$3,0)),0)</f>
        <v>660817.04105689772</v>
      </c>
      <c r="G36" s="324">
        <f ca="1">IFERROR(INDEX(BS,MATCH($B36,BS!$A:$A,0),MATCH(Summary!G$3,BS!$3:$3,0)),0)</f>
        <v>330682.77458333335</v>
      </c>
      <c r="H36" s="325">
        <f ca="1">IFERROR(INDEX(BS,MATCH($B36,BS!$A:$A,0),MATCH(Summary!H$3,BS!$3:$3,0)),0)</f>
        <v>330690.67655883665</v>
      </c>
      <c r="I36" s="325">
        <f ca="1">IFERROR(INDEX(BS,MATCH($B36,BS!$A:$A,0),MATCH(Summary!I$3,BS!$3:$3,0)),0)</f>
        <v>330694.76326130325</v>
      </c>
      <c r="J36" s="325">
        <f ca="1">IFERROR(INDEX(BS,MATCH($B36,BS!$A:$A,0),MATCH(Summary!J$3,BS!$3:$3,0)),0)</f>
        <v>330702.02624107292</v>
      </c>
      <c r="K36" s="325">
        <f ca="1">IFERROR(INDEX(BS,MATCH($B36,BS!$A:$A,0),MATCH(Summary!K$3,BS!$3:$3,0)),0)</f>
        <v>330705.90512988501</v>
      </c>
      <c r="L36" s="325">
        <f ca="1">IFERROR(INDEX(BS,MATCH($B36,BS!$A:$A,0),MATCH(Summary!L$3,BS!$3:$3,0)),0)</f>
        <v>330708.1003502669</v>
      </c>
      <c r="M36" s="325">
        <f ca="1">IFERROR(INDEX(BS,MATCH($B36,BS!$A:$A,0),MATCH(Summary!M$3,BS!$3:$3,0)),0)</f>
        <v>343747.4639878851</v>
      </c>
      <c r="N36" s="325">
        <f ca="1">IFERROR(INDEX(BS,MATCH($B36,BS!$A:$A,0),MATCH(Summary!N$3,BS!$3:$3,0)),0)</f>
        <v>343796.40745128802</v>
      </c>
      <c r="O36" s="325">
        <f ca="1">IFERROR(INDEX(BS,MATCH($B36,BS!$A:$A,0),MATCH(Summary!O$3,BS!$3:$3,0)),0)</f>
        <v>343846.79202837223</v>
      </c>
      <c r="P36" s="325">
        <f ca="1">IFERROR(INDEX(BS,MATCH($B36,BS!$A:$A,0),MATCH(Summary!P$3,BS!$3:$3,0)),0)</f>
        <v>343873.03970902285</v>
      </c>
      <c r="Q36" s="325">
        <f ca="1">IFERROR(INDEX(BS,MATCH($B36,BS!$A:$A,0),MATCH(Summary!Q$3,BS!$3:$3,0)),0)</f>
        <v>343888.46636668977</v>
      </c>
      <c r="R36" s="325">
        <f ca="1">IFERROR(INDEX(BS,MATCH($B36,BS!$A:$A,0),MATCH(Summary!R$3,BS!$3:$3,0)),0)</f>
        <v>343898.5741123631</v>
      </c>
      <c r="S36" s="325">
        <f ca="1">IFERROR(INDEX(BS,MATCH($B36,BS!$A:$A,0),MATCH(Summary!S$3,BS!$3:$3,0)),0)</f>
        <v>428077.62465020991</v>
      </c>
      <c r="T36" s="325">
        <f ca="1">IFERROR(INDEX(BS,MATCH($B36,BS!$A:$A,0),MATCH(Summary!T$3,BS!$3:$3,0)),0)</f>
        <v>428338.78288478003</v>
      </c>
      <c r="U36" s="325">
        <f ca="1">IFERROR(INDEX(BS,MATCH($B36,BS!$A:$A,0),MATCH(Summary!U$3,BS!$3:$3,0)),0)</f>
        <v>428541.62051637366</v>
      </c>
      <c r="V36" s="325">
        <f ca="1">IFERROR(INDEX(BS,MATCH($B36,BS!$A:$A,0),MATCH(Summary!V$3,BS!$3:$3,0)),0)</f>
        <v>436314.28948175703</v>
      </c>
      <c r="W36" s="325">
        <f ca="1">IFERROR(INDEX(BS,MATCH($B36,BS!$A:$A,0),MATCH(Summary!W$3,BS!$3:$3,0)),0)</f>
        <v>436422.17037875322</v>
      </c>
      <c r="X36" s="325">
        <f ca="1">IFERROR(INDEX(BS,MATCH($B36,BS!$A:$A,0),MATCH(Summary!X$3,BS!$3:$3,0)),0)</f>
        <v>436510.20733828901</v>
      </c>
      <c r="Y36" s="325">
        <f ca="1">IFERROR(INDEX(BS,MATCH($B36,BS!$A:$A,0),MATCH(Summary!Y$3,BS!$3:$3,0)),0)</f>
        <v>452601.74164101633</v>
      </c>
      <c r="Z36" s="325">
        <f ca="1">IFERROR(INDEX(BS,MATCH($B36,BS!$A:$A,0),MATCH(Summary!Z$3,BS!$3:$3,0)),0)</f>
        <v>457715.41496390512</v>
      </c>
      <c r="AA36" s="325">
        <f ca="1">IFERROR(INDEX(BS,MATCH($B36,BS!$A:$A,0),MATCH(Summary!AA$3,BS!$3:$3,0)),0)</f>
        <v>457935.44311831344</v>
      </c>
      <c r="AB36" s="325">
        <f ca="1">IFERROR(INDEX(BS,MATCH($B36,BS!$A:$A,0),MATCH(Summary!AB$3,BS!$3:$3,0)),0)</f>
        <v>469734.05019135959</v>
      </c>
      <c r="AC36" s="325">
        <f ca="1">IFERROR(INDEX(BS,MATCH($B36,BS!$A:$A,0),MATCH(Summary!AC$3,BS!$3:$3,0)),0)</f>
        <v>469878.54773557972</v>
      </c>
      <c r="AD36" s="325">
        <f ca="1">IFERROR(INDEX(BS,MATCH($B36,BS!$A:$A,0),MATCH(Summary!AD$3,BS!$3:$3,0)),0)</f>
        <v>470006.97237901401</v>
      </c>
      <c r="AE36" s="325">
        <f ca="1">IFERROR(INDEX(BS,MATCH($B36,BS!$A:$A,0),MATCH(Summary!AE$3,BS!$3:$3,0)),0)</f>
        <v>535525.97572858655</v>
      </c>
      <c r="AF36" s="325">
        <f ca="1">IFERROR(INDEX(BS,MATCH($B36,BS!$A:$A,0),MATCH(Summary!AF$3,BS!$3:$3,0)),0)</f>
        <v>536547.29951824713</v>
      </c>
      <c r="AG36" s="325">
        <f ca="1">IFERROR(INDEX(BS,MATCH($B36,BS!$A:$A,0),MATCH(Summary!AG$3,BS!$3:$3,0)),0)</f>
        <v>537321.26202559378</v>
      </c>
      <c r="AH36" s="325">
        <f ca="1">IFERROR(INDEX(BS,MATCH($B36,BS!$A:$A,0),MATCH(Summary!AH$3,BS!$3:$3,0)),0)</f>
        <v>554636.53904393688</v>
      </c>
      <c r="AI36" s="325">
        <f ca="1">IFERROR(INDEX(BS,MATCH($B36,BS!$A:$A,0),MATCH(Summary!AI$3,BS!$3:$3,0)),0)</f>
        <v>555110.52986957203</v>
      </c>
      <c r="AJ36" s="325">
        <f ca="1">IFERROR(INDEX(BS,MATCH($B36,BS!$A:$A,0),MATCH(Summary!AJ$3,BS!$3:$3,0)),0)</f>
        <v>555497.48747552116</v>
      </c>
      <c r="AK36" s="325">
        <f ca="1">IFERROR(INDEX(BS,MATCH($B36,BS!$A:$A,0),MATCH(Summary!AK$3,BS!$3:$3,0)),0)</f>
        <v>564053.2148156655</v>
      </c>
      <c r="AL36" s="325">
        <f ca="1">IFERROR(INDEX(BS,MATCH($B36,BS!$A:$A,0),MATCH(Summary!AL$3,BS!$3:$3,0)),0)</f>
        <v>564521.55752027244</v>
      </c>
      <c r="AM36" s="325">
        <f ca="1">IFERROR(INDEX(BS,MATCH($B36,BS!$A:$A,0),MATCH(Summary!AM$3,BS!$3:$3,0)),0)</f>
        <v>564912.72345517762</v>
      </c>
      <c r="AN36" s="325">
        <f ca="1">IFERROR(INDEX(BS,MATCH($B36,BS!$A:$A,0),MATCH(Summary!AN$3,BS!$3:$3,0)),0)</f>
        <v>582278.91014570789</v>
      </c>
      <c r="AO36" s="325">
        <f ca="1">IFERROR(INDEX(BS,MATCH($B36,BS!$A:$A,0),MATCH(Summary!AO$3,BS!$3:$3,0)),0)</f>
        <v>582864.91405605478</v>
      </c>
      <c r="AP36" s="325">
        <f ca="1">IFERROR(INDEX(BS,MATCH($B36,BS!$A:$A,0),MATCH(Summary!AP$3,BS!$3:$3,0)),0)</f>
        <v>583408.7856593983</v>
      </c>
      <c r="AQ36" s="325">
        <f ca="1">IFERROR(INDEX(BS,MATCH($B36,BS!$A:$A,0),MATCH(Summary!AQ$3,BS!$3:$3,0)),0)</f>
        <v>603930.46136834228</v>
      </c>
      <c r="AR36" s="325">
        <f ca="1">IFERROR(INDEX(BS,MATCH($B36,BS!$A:$A,0),MATCH(Summary!AR$3,BS!$3:$3,0)),0)</f>
        <v>607163.4588974216</v>
      </c>
      <c r="AS36" s="325">
        <f ca="1">IFERROR(INDEX(BS,MATCH($B36,BS!$A:$A,0),MATCH(Summary!AS$3,BS!$3:$3,0)),0)</f>
        <v>618963.85146501253</v>
      </c>
      <c r="AT36" s="325">
        <f ca="1">IFERROR(INDEX(BS,MATCH($B36,BS!$A:$A,0),MATCH(Summary!AT$3,BS!$3:$3,0)),0)</f>
        <v>625569.7466254757</v>
      </c>
      <c r="AU36" s="325">
        <f ca="1">IFERROR(INDEX(BS,MATCH($B36,BS!$A:$A,0),MATCH(Summary!AU$3,BS!$3:$3,0)),0)</f>
        <v>627561.85790344875</v>
      </c>
      <c r="AV36" s="325">
        <f ca="1">IFERROR(INDEX(BS,MATCH($B36,BS!$A:$A,0),MATCH(Summary!AV$3,BS!$3:$3,0)),0)</f>
        <v>638477.55072645657</v>
      </c>
      <c r="AW36" s="325">
        <f ca="1">IFERROR(INDEX(BS,MATCH($B36,BS!$A:$A,0),MATCH(Summary!AW$3,BS!$3:$3,0)),0)</f>
        <v>640092.33382179902</v>
      </c>
      <c r="AX36" s="325">
        <f ca="1">IFERROR(INDEX(BS,MATCH($B36,BS!$A:$A,0),MATCH(Summary!AX$3,BS!$3:$3,0)),0)</f>
        <v>641594.5252307984</v>
      </c>
      <c r="AY36" s="325">
        <f ca="1">IFERROR(INDEX(BS,MATCH($B36,BS!$A:$A,0),MATCH(Summary!AY$3,BS!$3:$3,0)),0)</f>
        <v>647343.36007139529</v>
      </c>
      <c r="AZ36" s="325">
        <f ca="1">IFERROR(INDEX(BS,MATCH($B36,BS!$A:$A,0),MATCH(Summary!AZ$3,BS!$3:$3,0)),0)</f>
        <v>657909.76354192104</v>
      </c>
      <c r="BA36" s="325">
        <f ca="1">IFERROR(INDEX(BS,MATCH($B36,BS!$A:$A,0),MATCH(Summary!BA$3,BS!$3:$3,0)),0)</f>
        <v>659352.79352806858</v>
      </c>
      <c r="BB36" s="325">
        <f ca="1">IFERROR(INDEX(BS,MATCH($B36,BS!$A:$A,0),MATCH(Summary!BB$3,BS!$3:$3,0)),0)</f>
        <v>660817.04105689772</v>
      </c>
      <c r="BC36" s="66"/>
      <c r="BD36" s="66"/>
      <c r="BE36" s="66"/>
      <c r="BF36" s="66"/>
      <c r="BG36" s="66"/>
      <c r="BH36" s="66"/>
    </row>
    <row r="37" spans="1:60" s="296" customFormat="1" ht="12.75" customHeight="1" x14ac:dyDescent="0.15">
      <c r="A37" s="95"/>
      <c r="B37" s="86"/>
      <c r="C37" s="308"/>
      <c r="D37" s="312"/>
      <c r="E37" s="312"/>
      <c r="F37" s="312"/>
      <c r="G37" s="312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</row>
    <row r="38" spans="1:60" s="67" customFormat="1" ht="12.75" customHeight="1" x14ac:dyDescent="0.15">
      <c r="A38" s="313" t="s">
        <v>17</v>
      </c>
      <c r="B38" s="313"/>
      <c r="C38" s="304"/>
      <c r="D38" s="60"/>
      <c r="E38" s="60"/>
      <c r="F38" s="60"/>
      <c r="G38" s="60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</row>
    <row r="39" spans="1:60" ht="12.75" customHeight="1" x14ac:dyDescent="0.15">
      <c r="A39" s="47" t="s">
        <v>208</v>
      </c>
      <c r="B39" s="54" t="s">
        <v>208</v>
      </c>
      <c r="C39" s="316">
        <f>IFERROR(INDEX(BS,MATCH($B39,BS!$A:$A,0),MATCH(Summary!C$3,BS!$3:$3,0)),0)</f>
        <v>5000000</v>
      </c>
      <c r="D39" s="317">
        <f>IFERROR(INDEX(BS,MATCH($B39,BS!$A:$A,0),MATCH(Summary!D$3,BS!$3:$3,0)),0)</f>
        <v>10000000</v>
      </c>
      <c r="E39" s="317">
        <f>IFERROR(INDEX(BS,MATCH($B39,BS!$A:$A,0),MATCH(Summary!E$3,BS!$3:$3,0)),0)</f>
        <v>10000000</v>
      </c>
      <c r="F39" s="317">
        <f>IFERROR(INDEX(BS,MATCH($B39,BS!$A:$A,0),MATCH(Summary!F$3,BS!$3:$3,0)),0)</f>
        <v>10000000</v>
      </c>
      <c r="G39" s="317">
        <f>IFERROR(INDEX(BS,MATCH($B39,BS!$A:$A,0),MATCH(Summary!G$3,BS!$3:$3,0)),0)</f>
        <v>0</v>
      </c>
      <c r="H39" s="326">
        <f>IFERROR(INDEX(BS,MATCH($B39,BS!$A:$A,0),MATCH(Summary!H$3,BS!$3:$3,0)),0)</f>
        <v>0</v>
      </c>
      <c r="I39" s="326">
        <f>IFERROR(INDEX(BS,MATCH($B39,BS!$A:$A,0),MATCH(Summary!I$3,BS!$3:$3,0)),0)</f>
        <v>0</v>
      </c>
      <c r="J39" s="326">
        <f>IFERROR(INDEX(BS,MATCH($B39,BS!$A:$A,0),MATCH(Summary!J$3,BS!$3:$3,0)),0)</f>
        <v>5000000</v>
      </c>
      <c r="K39" s="326">
        <f>IFERROR(INDEX(BS,MATCH($B39,BS!$A:$A,0),MATCH(Summary!K$3,BS!$3:$3,0)),0)</f>
        <v>5000000</v>
      </c>
      <c r="L39" s="326">
        <f>IFERROR(INDEX(BS,MATCH($B39,BS!$A:$A,0),MATCH(Summary!L$3,BS!$3:$3,0)),0)</f>
        <v>5000000</v>
      </c>
      <c r="M39" s="326">
        <f>IFERROR(INDEX(BS,MATCH($B39,BS!$A:$A,0),MATCH(Summary!M$3,BS!$3:$3,0)),0)</f>
        <v>5000000</v>
      </c>
      <c r="N39" s="326">
        <f>IFERROR(INDEX(BS,MATCH($B39,BS!$A:$A,0),MATCH(Summary!N$3,BS!$3:$3,0)),0)</f>
        <v>5000000</v>
      </c>
      <c r="O39" s="326">
        <f>IFERROR(INDEX(BS,MATCH($B39,BS!$A:$A,0),MATCH(Summary!O$3,BS!$3:$3,0)),0)</f>
        <v>5000000</v>
      </c>
      <c r="P39" s="326">
        <f>IFERROR(INDEX(BS,MATCH($B39,BS!$A:$A,0),MATCH(Summary!P$3,BS!$3:$3,0)),0)</f>
        <v>5000000</v>
      </c>
      <c r="Q39" s="326">
        <f>IFERROR(INDEX(BS,MATCH($B39,BS!$A:$A,0),MATCH(Summary!Q$3,BS!$3:$3,0)),0)</f>
        <v>5000000</v>
      </c>
      <c r="R39" s="326">
        <f>IFERROR(INDEX(BS,MATCH($B39,BS!$A:$A,0),MATCH(Summary!R$3,BS!$3:$3,0)),0)</f>
        <v>5000000</v>
      </c>
      <c r="S39" s="326">
        <f>IFERROR(INDEX(BS,MATCH($B39,BS!$A:$A,0),MATCH(Summary!S$3,BS!$3:$3,0)),0)</f>
        <v>5000000</v>
      </c>
      <c r="T39" s="326">
        <f>IFERROR(INDEX(BS,MATCH($B39,BS!$A:$A,0),MATCH(Summary!T$3,BS!$3:$3,0)),0)</f>
        <v>5000000</v>
      </c>
      <c r="U39" s="326">
        <f>IFERROR(INDEX(BS,MATCH($B39,BS!$A:$A,0),MATCH(Summary!U$3,BS!$3:$3,0)),0)</f>
        <v>5000000</v>
      </c>
      <c r="V39" s="326">
        <f>IFERROR(INDEX(BS,MATCH($B39,BS!$A:$A,0),MATCH(Summary!V$3,BS!$3:$3,0)),0)</f>
        <v>5000000</v>
      </c>
      <c r="W39" s="326">
        <f>IFERROR(INDEX(BS,MATCH($B39,BS!$A:$A,0),MATCH(Summary!W$3,BS!$3:$3,0)),0)</f>
        <v>5000000</v>
      </c>
      <c r="X39" s="326">
        <f>IFERROR(INDEX(BS,MATCH($B39,BS!$A:$A,0),MATCH(Summary!X$3,BS!$3:$3,0)),0)</f>
        <v>5000000</v>
      </c>
      <c r="Y39" s="326">
        <f>IFERROR(INDEX(BS,MATCH($B39,BS!$A:$A,0),MATCH(Summary!Y$3,BS!$3:$3,0)),0)</f>
        <v>5000000</v>
      </c>
      <c r="Z39" s="326">
        <f>IFERROR(INDEX(BS,MATCH($B39,BS!$A:$A,0),MATCH(Summary!Z$3,BS!$3:$3,0)),0)</f>
        <v>5000000</v>
      </c>
      <c r="AA39" s="326">
        <f>IFERROR(INDEX(BS,MATCH($B39,BS!$A:$A,0),MATCH(Summary!AA$3,BS!$3:$3,0)),0)</f>
        <v>10000000</v>
      </c>
      <c r="AB39" s="326">
        <f>IFERROR(INDEX(BS,MATCH($B39,BS!$A:$A,0),MATCH(Summary!AB$3,BS!$3:$3,0)),0)</f>
        <v>10000000</v>
      </c>
      <c r="AC39" s="326">
        <f>IFERROR(INDEX(BS,MATCH($B39,BS!$A:$A,0),MATCH(Summary!AC$3,BS!$3:$3,0)),0)</f>
        <v>10000000</v>
      </c>
      <c r="AD39" s="326">
        <f>IFERROR(INDEX(BS,MATCH($B39,BS!$A:$A,0),MATCH(Summary!AD$3,BS!$3:$3,0)),0)</f>
        <v>10000000</v>
      </c>
      <c r="AE39" s="326">
        <f>IFERROR(INDEX(BS,MATCH($B39,BS!$A:$A,0),MATCH(Summary!AE$3,BS!$3:$3,0)),0)</f>
        <v>10000000</v>
      </c>
      <c r="AF39" s="326">
        <f>IFERROR(INDEX(BS,MATCH($B39,BS!$A:$A,0),MATCH(Summary!AF$3,BS!$3:$3,0)),0)</f>
        <v>10000000</v>
      </c>
      <c r="AG39" s="326">
        <f>IFERROR(INDEX(BS,MATCH($B39,BS!$A:$A,0),MATCH(Summary!AG$3,BS!$3:$3,0)),0)</f>
        <v>10000000</v>
      </c>
      <c r="AH39" s="326">
        <f>IFERROR(INDEX(BS,MATCH($B39,BS!$A:$A,0),MATCH(Summary!AH$3,BS!$3:$3,0)),0)</f>
        <v>10000000</v>
      </c>
      <c r="AI39" s="326">
        <f>IFERROR(INDEX(BS,MATCH($B39,BS!$A:$A,0),MATCH(Summary!AI$3,BS!$3:$3,0)),0)</f>
        <v>10000000</v>
      </c>
      <c r="AJ39" s="326">
        <f>IFERROR(INDEX(BS,MATCH($B39,BS!$A:$A,0),MATCH(Summary!AJ$3,BS!$3:$3,0)),0)</f>
        <v>10000000</v>
      </c>
      <c r="AK39" s="326">
        <f>IFERROR(INDEX(BS,MATCH($B39,BS!$A:$A,0),MATCH(Summary!AK$3,BS!$3:$3,0)),0)</f>
        <v>10000000</v>
      </c>
      <c r="AL39" s="326">
        <f>IFERROR(INDEX(BS,MATCH($B39,BS!$A:$A,0),MATCH(Summary!AL$3,BS!$3:$3,0)),0)</f>
        <v>10000000</v>
      </c>
      <c r="AM39" s="326">
        <f>IFERROR(INDEX(BS,MATCH($B39,BS!$A:$A,0),MATCH(Summary!AM$3,BS!$3:$3,0)),0)</f>
        <v>10000000</v>
      </c>
      <c r="AN39" s="326">
        <f>IFERROR(INDEX(BS,MATCH($B39,BS!$A:$A,0),MATCH(Summary!AN$3,BS!$3:$3,0)),0)</f>
        <v>10000000</v>
      </c>
      <c r="AO39" s="326">
        <f>IFERROR(INDEX(BS,MATCH($B39,BS!$A:$A,0),MATCH(Summary!AO$3,BS!$3:$3,0)),0)</f>
        <v>10000000</v>
      </c>
      <c r="AP39" s="326">
        <f>IFERROR(INDEX(BS,MATCH($B39,BS!$A:$A,0),MATCH(Summary!AP$3,BS!$3:$3,0)),0)</f>
        <v>10000000</v>
      </c>
      <c r="AQ39" s="326">
        <f>IFERROR(INDEX(BS,MATCH($B39,BS!$A:$A,0),MATCH(Summary!AQ$3,BS!$3:$3,0)),0)</f>
        <v>10000000</v>
      </c>
      <c r="AR39" s="326">
        <f>IFERROR(INDEX(BS,MATCH($B39,BS!$A:$A,0),MATCH(Summary!AR$3,BS!$3:$3,0)),0)</f>
        <v>10000000</v>
      </c>
      <c r="AS39" s="326">
        <f>IFERROR(INDEX(BS,MATCH($B39,BS!$A:$A,0),MATCH(Summary!AS$3,BS!$3:$3,0)),0)</f>
        <v>10000000</v>
      </c>
      <c r="AT39" s="326">
        <f>IFERROR(INDEX(BS,MATCH($B39,BS!$A:$A,0),MATCH(Summary!AT$3,BS!$3:$3,0)),0)</f>
        <v>10000000</v>
      </c>
      <c r="AU39" s="326">
        <f>IFERROR(INDEX(BS,MATCH($B39,BS!$A:$A,0),MATCH(Summary!AU$3,BS!$3:$3,0)),0)</f>
        <v>10000000</v>
      </c>
      <c r="AV39" s="326">
        <f>IFERROR(INDEX(BS,MATCH($B39,BS!$A:$A,0),MATCH(Summary!AV$3,BS!$3:$3,0)),0)</f>
        <v>10000000</v>
      </c>
      <c r="AW39" s="326">
        <f>IFERROR(INDEX(BS,MATCH($B39,BS!$A:$A,0),MATCH(Summary!AW$3,BS!$3:$3,0)),0)</f>
        <v>10000000</v>
      </c>
      <c r="AX39" s="326">
        <f>IFERROR(INDEX(BS,MATCH($B39,BS!$A:$A,0),MATCH(Summary!AX$3,BS!$3:$3,0)),0)</f>
        <v>10000000</v>
      </c>
      <c r="AY39" s="326">
        <f>IFERROR(INDEX(BS,MATCH($B39,BS!$A:$A,0),MATCH(Summary!AY$3,BS!$3:$3,0)),0)</f>
        <v>10000000</v>
      </c>
      <c r="AZ39" s="326">
        <f>IFERROR(INDEX(BS,MATCH($B39,BS!$A:$A,0),MATCH(Summary!AZ$3,BS!$3:$3,0)),0)</f>
        <v>10000000</v>
      </c>
      <c r="BA39" s="326">
        <f>IFERROR(INDEX(BS,MATCH($B39,BS!$A:$A,0),MATCH(Summary!BA$3,BS!$3:$3,0)),0)</f>
        <v>10000000</v>
      </c>
      <c r="BB39" s="326">
        <f>IFERROR(INDEX(BS,MATCH($B39,BS!$A:$A,0),MATCH(Summary!BB$3,BS!$3:$3,0)),0)</f>
        <v>10000000</v>
      </c>
      <c r="BC39" s="56"/>
      <c r="BD39" s="56"/>
      <c r="BE39" s="56"/>
      <c r="BF39" s="57"/>
      <c r="BG39" s="57"/>
      <c r="BH39" s="57"/>
    </row>
    <row r="40" spans="1:60" ht="12.75" customHeight="1" x14ac:dyDescent="0.15">
      <c r="A40" s="47" t="s">
        <v>23</v>
      </c>
      <c r="B40" s="54" t="s">
        <v>23</v>
      </c>
      <c r="C40" s="316">
        <f ca="1">IFERROR(INDEX(BS,MATCH($B40,BS!$A:$A,0),MATCH(Summary!C$3,BS!$3:$3,0)),0)</f>
        <v>-546068.95040058892</v>
      </c>
      <c r="D40" s="317">
        <f ca="1">IFERROR(INDEX(BS,MATCH($B40,BS!$A:$A,0),MATCH(Summary!D$3,BS!$3:$3,0)),0)</f>
        <v>-2161694.2393017546</v>
      </c>
      <c r="E40" s="317">
        <f ca="1">IFERROR(INDEX(BS,MATCH($B40,BS!$A:$A,0),MATCH(Summary!E$3,BS!$3:$3,0)),0)</f>
        <v>-4172607.7871940224</v>
      </c>
      <c r="F40" s="317">
        <f ca="1">IFERROR(INDEX(BS,MATCH($B40,BS!$A:$A,0),MATCH(Summary!F$3,BS!$3:$3,0)),0)</f>
        <v>-3093318.8660885566</v>
      </c>
      <c r="G40" s="317">
        <f ca="1">IFERROR(INDEX(BS,MATCH($B40,BS!$A:$A,0),MATCH(Summary!G$3,BS!$3:$3,0)),0)</f>
        <v>-40860.006958333339</v>
      </c>
      <c r="H40" s="326">
        <f ca="1">IFERROR(INDEX(BS,MATCH($B40,BS!$A:$A,0),MATCH(Summary!H$3,BS!$3:$3,0)),0)</f>
        <v>-81387.867546342837</v>
      </c>
      <c r="I40" s="326">
        <f ca="1">IFERROR(INDEX(BS,MATCH($B40,BS!$A:$A,0),MATCH(Summary!I$3,BS!$3:$3,0)),0)</f>
        <v>-121743.95040733996</v>
      </c>
      <c r="J40" s="326">
        <f ca="1">IFERROR(INDEX(BS,MATCH($B40,BS!$A:$A,0),MATCH(Summary!J$3,BS!$3:$3,0)),0)</f>
        <v>-161794.74601868592</v>
      </c>
      <c r="K40" s="326">
        <f ca="1">IFERROR(INDEX(BS,MATCH($B40,BS!$A:$A,0),MATCH(Summary!K$3,BS!$3:$3,0)),0)</f>
        <v>-201682.49900363048</v>
      </c>
      <c r="L40" s="326">
        <f ca="1">IFERROR(INDEX(BS,MATCH($B40,BS!$A:$A,0),MATCH(Summary!L$3,BS!$3:$3,0)),0)</f>
        <v>-241477.97955852334</v>
      </c>
      <c r="M40" s="326">
        <f ca="1">IFERROR(INDEX(BS,MATCH($B40,BS!$A:$A,0),MATCH(Summary!M$3,BS!$3:$3,0)),0)</f>
        <v>-296208.00368442049</v>
      </c>
      <c r="N40" s="326">
        <f ca="1">IFERROR(INDEX(BS,MATCH($B40,BS!$A:$A,0),MATCH(Summary!N$3,BS!$3:$3,0)),0)</f>
        <v>-348880.77089861408</v>
      </c>
      <c r="O40" s="326">
        <f ca="1">IFERROR(INDEX(BS,MATCH($B40,BS!$A:$A,0),MATCH(Summary!O$3,BS!$3:$3,0)),0)</f>
        <v>-399435.7063893688</v>
      </c>
      <c r="P40" s="326">
        <f ca="1">IFERROR(INDEX(BS,MATCH($B40,BS!$A:$A,0),MATCH(Summary!P$3,BS!$3:$3,0)),0)</f>
        <v>-448887.36437010928</v>
      </c>
      <c r="Q40" s="326">
        <f ca="1">IFERROR(INDEX(BS,MATCH($B40,BS!$A:$A,0),MATCH(Summary!Q$3,BS!$3:$3,0)),0)</f>
        <v>-497690.58850691764</v>
      </c>
      <c r="R40" s="326">
        <f ca="1">IFERROR(INDEX(BS,MATCH($B40,BS!$A:$A,0),MATCH(Summary!R$3,BS!$3:$3,0)),0)</f>
        <v>-546068.95040058892</v>
      </c>
      <c r="S40" s="326">
        <f ca="1">IFERROR(INDEX(BS,MATCH($B40,BS!$A:$A,0),MATCH(Summary!S$3,BS!$3:$3,0)),0)</f>
        <v>-688701.6157978765</v>
      </c>
      <c r="T40" s="326">
        <f ca="1">IFERROR(INDEX(BS,MATCH($B40,BS!$A:$A,0),MATCH(Summary!T$3,BS!$3:$3,0)),0)</f>
        <v>-820356.93006873375</v>
      </c>
      <c r="U40" s="326">
        <f ca="1">IFERROR(INDEX(BS,MATCH($B40,BS!$A:$A,0),MATCH(Summary!U$3,BS!$3:$3,0)),0)</f>
        <v>-943486.30255827249</v>
      </c>
      <c r="V40" s="326">
        <f ca="1">IFERROR(INDEX(BS,MATCH($B40,BS!$A:$A,0),MATCH(Summary!V$3,BS!$3:$3,0)),0)</f>
        <v>-1070647.4494320301</v>
      </c>
      <c r="W40" s="326">
        <f ca="1">IFERROR(INDEX(BS,MATCH($B40,BS!$A:$A,0),MATCH(Summary!W$3,BS!$3:$3,0)),0)</f>
        <v>-1193585.5171242903</v>
      </c>
      <c r="X40" s="326">
        <f ca="1">IFERROR(INDEX(BS,MATCH($B40,BS!$A:$A,0),MATCH(Summary!X$3,BS!$3:$3,0)),0)</f>
        <v>-1313368.0886526187</v>
      </c>
      <c r="Y40" s="326">
        <f ca="1">IFERROR(INDEX(BS,MATCH($B40,BS!$A:$A,0),MATCH(Summary!Y$3,BS!$3:$3,0)),0)</f>
        <v>-1450398.9043339058</v>
      </c>
      <c r="Z40" s="326">
        <f ca="1">IFERROR(INDEX(BS,MATCH($B40,BS!$A:$A,0),MATCH(Summary!Z$3,BS!$3:$3,0)),0)</f>
        <v>-1590104.7026166383</v>
      </c>
      <c r="AA40" s="326">
        <f ca="1">IFERROR(INDEX(BS,MATCH($B40,BS!$A:$A,0),MATCH(Summary!AA$3,BS!$3:$3,0)),0)</f>
        <v>-1725886.4268946399</v>
      </c>
      <c r="AB40" s="326">
        <f ca="1">IFERROR(INDEX(BS,MATCH($B40,BS!$A:$A,0),MATCH(Summary!AB$3,BS!$3:$3,0)),0)</f>
        <v>-1873688.8123125779</v>
      </c>
      <c r="AC40" s="326">
        <f ca="1">IFERROR(INDEX(BS,MATCH($B40,BS!$A:$A,0),MATCH(Summary!AC$3,BS!$3:$3,0)),0)</f>
        <v>-2018866.0110892926</v>
      </c>
      <c r="AD40" s="326">
        <f ca="1">IFERROR(INDEX(BS,MATCH($B40,BS!$A:$A,0),MATCH(Summary!AD$3,BS!$3:$3,0)),0)</f>
        <v>-2161694.2393017546</v>
      </c>
      <c r="AE40" s="326">
        <f ca="1">IFERROR(INDEX(BS,MATCH($B40,BS!$A:$A,0),MATCH(Summary!AE$3,BS!$3:$3,0)),0)</f>
        <v>-2364110.2766588666</v>
      </c>
      <c r="AF40" s="326">
        <f ca="1">IFERROR(INDEX(BS,MATCH($B40,BS!$A:$A,0),MATCH(Summary!AF$3,BS!$3:$3,0)),0)</f>
        <v>-2548675.0204207613</v>
      </c>
      <c r="AG40" s="326">
        <f ca="1">IFERROR(INDEX(BS,MATCH($B40,BS!$A:$A,0),MATCH(Summary!AG$3,BS!$3:$3,0)),0)</f>
        <v>-2719636.9803905613</v>
      </c>
      <c r="AH40" s="326">
        <f ca="1">IFERROR(INDEX(BS,MATCH($B40,BS!$A:$A,0),MATCH(Summary!AH$3,BS!$3:$3,0)),0)</f>
        <v>-2901747.5547884917</v>
      </c>
      <c r="AI40" s="326">
        <f ca="1">IFERROR(INDEX(BS,MATCH($B40,BS!$A:$A,0),MATCH(Summary!AI$3,BS!$3:$3,0)),0)</f>
        <v>-3075407.8472593729</v>
      </c>
      <c r="AJ40" s="326">
        <f ca="1">IFERROR(INDEX(BS,MATCH($B40,BS!$A:$A,0),MATCH(Summary!AJ$3,BS!$3:$3,0)),0)</f>
        <v>-3242112.9814179768</v>
      </c>
      <c r="AK40" s="326">
        <f ca="1">IFERROR(INDEX(BS,MATCH($B40,BS!$A:$A,0),MATCH(Summary!AK$3,BS!$3:$3,0)),0)</f>
        <v>-3408897.3956798376</v>
      </c>
      <c r="AL40" s="326">
        <f ca="1">IFERROR(INDEX(BS,MATCH($B40,BS!$A:$A,0),MATCH(Summary!AL$3,BS!$3:$3,0)),0)</f>
        <v>-3567295.9423092967</v>
      </c>
      <c r="AM40" s="326">
        <f ca="1">IFERROR(INDEX(BS,MATCH($B40,BS!$A:$A,0),MATCH(Summary!AM$3,BS!$3:$3,0)),0)</f>
        <v>-3718634.6025809264</v>
      </c>
      <c r="AN40" s="326">
        <f ca="1">IFERROR(INDEX(BS,MATCH($B40,BS!$A:$A,0),MATCH(Summary!AN$3,BS!$3:$3,0)),0)</f>
        <v>-3880174.6466946406</v>
      </c>
      <c r="AO40" s="326">
        <f ca="1">IFERROR(INDEX(BS,MATCH($B40,BS!$A:$A,0),MATCH(Summary!AO$3,BS!$3:$3,0)),0)</f>
        <v>-4031260.2275141673</v>
      </c>
      <c r="AP40" s="326">
        <f ca="1">IFERROR(INDEX(BS,MATCH($B40,BS!$A:$A,0),MATCH(Summary!AP$3,BS!$3:$3,0)),0)</f>
        <v>-4172607.7871940224</v>
      </c>
      <c r="AQ40" s="326">
        <f ca="1">IFERROR(INDEX(BS,MATCH($B40,BS!$A:$A,0),MATCH(Summary!AQ$3,BS!$3:$3,0)),0)</f>
        <v>-4266313.0565310847</v>
      </c>
      <c r="AR40" s="326">
        <f ca="1">IFERROR(INDEX(BS,MATCH($B40,BS!$A:$A,0),MATCH(Summary!AR$3,BS!$3:$3,0)),0)</f>
        <v>-4303588.8578057485</v>
      </c>
      <c r="AS40" s="326">
        <f ca="1">IFERROR(INDEX(BS,MATCH($B40,BS!$A:$A,0),MATCH(Summary!AS$3,BS!$3:$3,0)),0)</f>
        <v>-4306120.8333790852</v>
      </c>
      <c r="AT40" s="326">
        <f ca="1">IFERROR(INDEX(BS,MATCH($B40,BS!$A:$A,0),MATCH(Summary!AT$3,BS!$3:$3,0)),0)</f>
        <v>-4274164.3978615757</v>
      </c>
      <c r="AU40" s="326">
        <f ca="1">IFERROR(INDEX(BS,MATCH($B40,BS!$A:$A,0),MATCH(Summary!AU$3,BS!$3:$3,0)),0)</f>
        <v>-4206998.0826969687</v>
      </c>
      <c r="AV40" s="326">
        <f ca="1">IFERROR(INDEX(BS,MATCH($B40,BS!$A:$A,0),MATCH(Summary!AV$3,BS!$3:$3,0)),0)</f>
        <v>-4120193.3054576064</v>
      </c>
      <c r="AW40" s="326">
        <f ca="1">IFERROR(INDEX(BS,MATCH($B40,BS!$A:$A,0),MATCH(Summary!AW$3,BS!$3:$3,0)),0)</f>
        <v>-4004607.6093240422</v>
      </c>
      <c r="AX40" s="326">
        <f ca="1">IFERROR(INDEX(BS,MATCH($B40,BS!$A:$A,0),MATCH(Summary!AX$3,BS!$3:$3,0)),0)</f>
        <v>-3862150.9893866056</v>
      </c>
      <c r="AY40" s="326">
        <f ca="1">IFERROR(INDEX(BS,MATCH($B40,BS!$A:$A,0),MATCH(Summary!AY$3,BS!$3:$3,0)),0)</f>
        <v>-3699798.4251809223</v>
      </c>
      <c r="AZ40" s="326">
        <f ca="1">IFERROR(INDEX(BS,MATCH($B40,BS!$A:$A,0),MATCH(Summary!AZ$3,BS!$3:$3,0)),0)</f>
        <v>-3523706.1223358582</v>
      </c>
      <c r="BA40" s="326">
        <f ca="1">IFERROR(INDEX(BS,MATCH($B40,BS!$A:$A,0),MATCH(Summary!BA$3,BS!$3:$3,0)),0)</f>
        <v>-3321677.5424712151</v>
      </c>
      <c r="BB40" s="326">
        <f ca="1">IFERROR(INDEX(BS,MATCH($B40,BS!$A:$A,0),MATCH(Summary!BB$3,BS!$3:$3,0)),0)</f>
        <v>-3093318.8660885566</v>
      </c>
      <c r="BC40" s="56"/>
      <c r="BD40" s="56"/>
      <c r="BE40" s="56"/>
      <c r="BF40" s="57"/>
      <c r="BG40" s="57"/>
      <c r="BH40" s="57"/>
    </row>
    <row r="41" spans="1:60" s="67" customFormat="1" ht="12.75" customHeight="1" x14ac:dyDescent="0.15">
      <c r="A41" s="255" t="s">
        <v>18</v>
      </c>
      <c r="B41" s="59" t="s">
        <v>18</v>
      </c>
      <c r="C41" s="318">
        <f ca="1">IFERROR(INDEX(BS,MATCH($B41,BS!$A:$A,0),MATCH(Summary!C$3,BS!$3:$3,0)),0)</f>
        <v>4453931.049599411</v>
      </c>
      <c r="D41" s="324">
        <f ca="1">IFERROR(INDEX(BS,MATCH($B41,BS!$A:$A,0),MATCH(Summary!D$3,BS!$3:$3,0)),0)</f>
        <v>7838305.7606982458</v>
      </c>
      <c r="E41" s="324">
        <f ca="1">IFERROR(INDEX(BS,MATCH($B41,BS!$A:$A,0),MATCH(Summary!E$3,BS!$3:$3,0)),0)</f>
        <v>5827392.2128059771</v>
      </c>
      <c r="F41" s="324">
        <f ca="1">IFERROR(INDEX(BS,MATCH($B41,BS!$A:$A,0),MATCH(Summary!F$3,BS!$3:$3,0)),0)</f>
        <v>6906681.1339114439</v>
      </c>
      <c r="G41" s="324">
        <f ca="1">IFERROR(INDEX(BS,MATCH($B41,BS!$A:$A,0),MATCH(Summary!G$3,BS!$3:$3,0)),0)</f>
        <v>-40860.006958333339</v>
      </c>
      <c r="H41" s="325">
        <f ca="1">IFERROR(INDEX(BS,MATCH($B41,BS!$A:$A,0),MATCH(Summary!H$3,BS!$3:$3,0)),0)</f>
        <v>-81387.867546342837</v>
      </c>
      <c r="I41" s="325">
        <f ca="1">IFERROR(INDEX(BS,MATCH($B41,BS!$A:$A,0),MATCH(Summary!I$3,BS!$3:$3,0)),0)</f>
        <v>-121743.95040733996</v>
      </c>
      <c r="J41" s="325">
        <f ca="1">IFERROR(INDEX(BS,MATCH($B41,BS!$A:$A,0),MATCH(Summary!J$3,BS!$3:$3,0)),0)</f>
        <v>4838205.2539813137</v>
      </c>
      <c r="K41" s="325">
        <f ca="1">IFERROR(INDEX(BS,MATCH($B41,BS!$A:$A,0),MATCH(Summary!K$3,BS!$3:$3,0)),0)</f>
        <v>4798317.5009963699</v>
      </c>
      <c r="L41" s="325">
        <f ca="1">IFERROR(INDEX(BS,MATCH($B41,BS!$A:$A,0),MATCH(Summary!L$3,BS!$3:$3,0)),0)</f>
        <v>4758522.0204414763</v>
      </c>
      <c r="M41" s="325">
        <f ca="1">IFERROR(INDEX(BS,MATCH($B41,BS!$A:$A,0),MATCH(Summary!M$3,BS!$3:$3,0)),0)</f>
        <v>4703791.9963155799</v>
      </c>
      <c r="N41" s="325">
        <f ca="1">IFERROR(INDEX(BS,MATCH($B41,BS!$A:$A,0),MATCH(Summary!N$3,BS!$3:$3,0)),0)</f>
        <v>4651119.2291013859</v>
      </c>
      <c r="O41" s="325">
        <f ca="1">IFERROR(INDEX(BS,MATCH($B41,BS!$A:$A,0),MATCH(Summary!O$3,BS!$3:$3,0)),0)</f>
        <v>4600564.2936106315</v>
      </c>
      <c r="P41" s="325">
        <f ca="1">IFERROR(INDEX(BS,MATCH($B41,BS!$A:$A,0),MATCH(Summary!P$3,BS!$3:$3,0)),0)</f>
        <v>4551112.6356298905</v>
      </c>
      <c r="Q41" s="325">
        <f ca="1">IFERROR(INDEX(BS,MATCH($B41,BS!$A:$A,0),MATCH(Summary!Q$3,BS!$3:$3,0)),0)</f>
        <v>4502309.4114930825</v>
      </c>
      <c r="R41" s="325">
        <f ca="1">IFERROR(INDEX(BS,MATCH($B41,BS!$A:$A,0),MATCH(Summary!R$3,BS!$3:$3,0)),0)</f>
        <v>4453931.049599411</v>
      </c>
      <c r="S41" s="325">
        <f ca="1">IFERROR(INDEX(BS,MATCH($B41,BS!$A:$A,0),MATCH(Summary!S$3,BS!$3:$3,0)),0)</f>
        <v>4311298.3842021236</v>
      </c>
      <c r="T41" s="325">
        <f ca="1">IFERROR(INDEX(BS,MATCH($B41,BS!$A:$A,0),MATCH(Summary!T$3,BS!$3:$3,0)),0)</f>
        <v>4179643.0699312664</v>
      </c>
      <c r="U41" s="325">
        <f ca="1">IFERROR(INDEX(BS,MATCH($B41,BS!$A:$A,0),MATCH(Summary!U$3,BS!$3:$3,0)),0)</f>
        <v>4056513.6974417274</v>
      </c>
      <c r="V41" s="325">
        <f ca="1">IFERROR(INDEX(BS,MATCH($B41,BS!$A:$A,0),MATCH(Summary!V$3,BS!$3:$3,0)),0)</f>
        <v>3929352.5505679697</v>
      </c>
      <c r="W41" s="325">
        <f ca="1">IFERROR(INDEX(BS,MATCH($B41,BS!$A:$A,0),MATCH(Summary!W$3,BS!$3:$3,0)),0)</f>
        <v>3806414.4828757094</v>
      </c>
      <c r="X41" s="325">
        <f ca="1">IFERROR(INDEX(BS,MATCH($B41,BS!$A:$A,0),MATCH(Summary!X$3,BS!$3:$3,0)),0)</f>
        <v>3686631.9113473813</v>
      </c>
      <c r="Y41" s="325">
        <f ca="1">IFERROR(INDEX(BS,MATCH($B41,BS!$A:$A,0),MATCH(Summary!Y$3,BS!$3:$3,0)),0)</f>
        <v>3549601.0956660942</v>
      </c>
      <c r="Z41" s="325">
        <f ca="1">IFERROR(INDEX(BS,MATCH($B41,BS!$A:$A,0),MATCH(Summary!Z$3,BS!$3:$3,0)),0)</f>
        <v>3409895.2973833615</v>
      </c>
      <c r="AA41" s="325">
        <f ca="1">IFERROR(INDEX(BS,MATCH($B41,BS!$A:$A,0),MATCH(Summary!AA$3,BS!$3:$3,0)),0)</f>
        <v>8274113.5731053604</v>
      </c>
      <c r="AB41" s="325">
        <f ca="1">IFERROR(INDEX(BS,MATCH($B41,BS!$A:$A,0),MATCH(Summary!AB$3,BS!$3:$3,0)),0)</f>
        <v>8126311.1876874221</v>
      </c>
      <c r="AC41" s="325">
        <f ca="1">IFERROR(INDEX(BS,MATCH($B41,BS!$A:$A,0),MATCH(Summary!AC$3,BS!$3:$3,0)),0)</f>
        <v>7981133.9889107076</v>
      </c>
      <c r="AD41" s="325">
        <f ca="1">IFERROR(INDEX(BS,MATCH($B41,BS!$A:$A,0),MATCH(Summary!AD$3,BS!$3:$3,0)),0)</f>
        <v>7838305.7606982458</v>
      </c>
      <c r="AE41" s="325">
        <f ca="1">IFERROR(INDEX(BS,MATCH($B41,BS!$A:$A,0),MATCH(Summary!AE$3,BS!$3:$3,0)),0)</f>
        <v>7635889.7233411334</v>
      </c>
      <c r="AF41" s="325">
        <f ca="1">IFERROR(INDEX(BS,MATCH($B41,BS!$A:$A,0),MATCH(Summary!AF$3,BS!$3:$3,0)),0)</f>
        <v>7451324.9795792382</v>
      </c>
      <c r="AG41" s="325">
        <f ca="1">IFERROR(INDEX(BS,MATCH($B41,BS!$A:$A,0),MATCH(Summary!AG$3,BS!$3:$3,0)),0)</f>
        <v>7280363.0196094383</v>
      </c>
      <c r="AH41" s="325">
        <f ca="1">IFERROR(INDEX(BS,MATCH($B41,BS!$A:$A,0),MATCH(Summary!AH$3,BS!$3:$3,0)),0)</f>
        <v>7098252.4452115083</v>
      </c>
      <c r="AI41" s="325">
        <f ca="1">IFERROR(INDEX(BS,MATCH($B41,BS!$A:$A,0),MATCH(Summary!AI$3,BS!$3:$3,0)),0)</f>
        <v>6924592.1527406275</v>
      </c>
      <c r="AJ41" s="325">
        <f ca="1">IFERROR(INDEX(BS,MATCH($B41,BS!$A:$A,0),MATCH(Summary!AJ$3,BS!$3:$3,0)),0)</f>
        <v>6757887.0185820237</v>
      </c>
      <c r="AK41" s="325">
        <f ca="1">IFERROR(INDEX(BS,MATCH($B41,BS!$A:$A,0),MATCH(Summary!AK$3,BS!$3:$3,0)),0)</f>
        <v>6591102.6043201629</v>
      </c>
      <c r="AL41" s="325">
        <f ca="1">IFERROR(INDEX(BS,MATCH($B41,BS!$A:$A,0),MATCH(Summary!AL$3,BS!$3:$3,0)),0)</f>
        <v>6432704.0576907033</v>
      </c>
      <c r="AM41" s="325">
        <f ca="1">IFERROR(INDEX(BS,MATCH($B41,BS!$A:$A,0),MATCH(Summary!AM$3,BS!$3:$3,0)),0)</f>
        <v>6281365.3974190736</v>
      </c>
      <c r="AN41" s="325">
        <f ca="1">IFERROR(INDEX(BS,MATCH($B41,BS!$A:$A,0),MATCH(Summary!AN$3,BS!$3:$3,0)),0)</f>
        <v>6119825.3533053594</v>
      </c>
      <c r="AO41" s="325">
        <f ca="1">IFERROR(INDEX(BS,MATCH($B41,BS!$A:$A,0),MATCH(Summary!AO$3,BS!$3:$3,0)),0)</f>
        <v>5968739.7724858327</v>
      </c>
      <c r="AP41" s="325">
        <f ca="1">IFERROR(INDEX(BS,MATCH($B41,BS!$A:$A,0),MATCH(Summary!AP$3,BS!$3:$3,0)),0)</f>
        <v>5827392.2128059771</v>
      </c>
      <c r="AQ41" s="325">
        <f ca="1">IFERROR(INDEX(BS,MATCH($B41,BS!$A:$A,0),MATCH(Summary!AQ$3,BS!$3:$3,0)),0)</f>
        <v>5733686.9434689153</v>
      </c>
      <c r="AR41" s="325">
        <f ca="1">IFERROR(INDEX(BS,MATCH($B41,BS!$A:$A,0),MATCH(Summary!AR$3,BS!$3:$3,0)),0)</f>
        <v>5696411.1421942515</v>
      </c>
      <c r="AS41" s="325">
        <f ca="1">IFERROR(INDEX(BS,MATCH($B41,BS!$A:$A,0),MATCH(Summary!AS$3,BS!$3:$3,0)),0)</f>
        <v>5693879.1666209148</v>
      </c>
      <c r="AT41" s="325">
        <f ca="1">IFERROR(INDEX(BS,MATCH($B41,BS!$A:$A,0),MATCH(Summary!AT$3,BS!$3:$3,0)),0)</f>
        <v>5725835.6021384243</v>
      </c>
      <c r="AU41" s="325">
        <f ca="1">IFERROR(INDEX(BS,MATCH($B41,BS!$A:$A,0),MATCH(Summary!AU$3,BS!$3:$3,0)),0)</f>
        <v>5793001.9173030313</v>
      </c>
      <c r="AV41" s="325">
        <f ca="1">IFERROR(INDEX(BS,MATCH($B41,BS!$A:$A,0),MATCH(Summary!AV$3,BS!$3:$3,0)),0)</f>
        <v>5879806.6945423931</v>
      </c>
      <c r="AW41" s="325">
        <f ca="1">IFERROR(INDEX(BS,MATCH($B41,BS!$A:$A,0),MATCH(Summary!AW$3,BS!$3:$3,0)),0)</f>
        <v>5995392.3906759582</v>
      </c>
      <c r="AX41" s="325">
        <f ca="1">IFERROR(INDEX(BS,MATCH($B41,BS!$A:$A,0),MATCH(Summary!AX$3,BS!$3:$3,0)),0)</f>
        <v>6137849.0106133949</v>
      </c>
      <c r="AY41" s="325">
        <f ca="1">IFERROR(INDEX(BS,MATCH($B41,BS!$A:$A,0),MATCH(Summary!AY$3,BS!$3:$3,0)),0)</f>
        <v>6300201.5748190777</v>
      </c>
      <c r="AZ41" s="325">
        <f ca="1">IFERROR(INDEX(BS,MATCH($B41,BS!$A:$A,0),MATCH(Summary!AZ$3,BS!$3:$3,0)),0)</f>
        <v>6476293.8776641414</v>
      </c>
      <c r="BA41" s="325">
        <f ca="1">IFERROR(INDEX(BS,MATCH($B41,BS!$A:$A,0),MATCH(Summary!BA$3,BS!$3:$3,0)),0)</f>
        <v>6678322.4575287849</v>
      </c>
      <c r="BB41" s="325">
        <f ca="1">IFERROR(INDEX(BS,MATCH($B41,BS!$A:$A,0),MATCH(Summary!BB$3,BS!$3:$3,0)),0)</f>
        <v>6906681.1339114439</v>
      </c>
      <c r="BC41" s="66"/>
      <c r="BD41" s="66"/>
      <c r="BE41" s="66"/>
      <c r="BF41" s="66"/>
      <c r="BG41" s="66"/>
      <c r="BH41" s="66"/>
    </row>
    <row r="42" spans="1:60" ht="12.75" customHeight="1" x14ac:dyDescent="0.15">
      <c r="C42" s="55"/>
      <c r="D42" s="21"/>
      <c r="E42" s="21"/>
      <c r="F42" s="21"/>
      <c r="G42" s="21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7"/>
      <c r="BG42" s="57"/>
      <c r="BH42" s="57"/>
    </row>
    <row r="43" spans="1:60" ht="12.75" customHeight="1" x14ac:dyDescent="0.15">
      <c r="C43" s="55"/>
      <c r="D43" s="21"/>
      <c r="E43" s="21"/>
      <c r="F43" s="21"/>
      <c r="G43" s="21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7"/>
      <c r="BG43" s="57"/>
      <c r="BH43" s="57"/>
    </row>
    <row r="44" spans="1:60" ht="12.75" customHeight="1" x14ac:dyDescent="0.15">
      <c r="C44" s="55"/>
      <c r="D44" s="21"/>
      <c r="E44" s="21"/>
      <c r="F44" s="21"/>
      <c r="G44" s="21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7"/>
      <c r="BG44" s="57"/>
      <c r="BH44" s="57"/>
    </row>
    <row r="45" spans="1:60" ht="12.75" customHeight="1" x14ac:dyDescent="0.15">
      <c r="C45" s="55"/>
      <c r="D45" s="21"/>
      <c r="E45" s="21"/>
      <c r="F45" s="21"/>
      <c r="G45" s="21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7"/>
      <c r="BG45" s="57"/>
      <c r="BH45" s="57"/>
    </row>
    <row r="46" spans="1:60" ht="12.75" customHeight="1" x14ac:dyDescent="0.15">
      <c r="C46" s="55"/>
      <c r="D46" s="21"/>
      <c r="E46" s="21"/>
      <c r="F46" s="21"/>
      <c r="G46" s="21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7"/>
      <c r="BG46" s="57"/>
      <c r="BH46" s="57"/>
    </row>
    <row r="47" spans="1:60" ht="12.75" customHeight="1" x14ac:dyDescent="0.15">
      <c r="C47" s="55"/>
      <c r="D47" s="21"/>
      <c r="E47" s="21"/>
      <c r="F47" s="21"/>
      <c r="G47" s="21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7"/>
      <c r="BG47" s="57"/>
      <c r="BH47" s="57"/>
    </row>
    <row r="48" spans="1:60" ht="12.75" customHeight="1" x14ac:dyDescent="0.15">
      <c r="C48" s="55"/>
      <c r="D48" s="21"/>
      <c r="E48" s="21"/>
      <c r="F48" s="21"/>
      <c r="G48" s="21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7"/>
      <c r="BG48" s="57"/>
      <c r="BH48" s="57"/>
    </row>
    <row r="49" spans="3:60" s="52" customFormat="1" ht="12.75" customHeight="1" x14ac:dyDescent="0.15">
      <c r="C49" s="55"/>
      <c r="D49" s="21"/>
      <c r="E49" s="21"/>
      <c r="F49" s="21"/>
      <c r="G49" s="21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7"/>
      <c r="BG49" s="57"/>
      <c r="BH49" s="57"/>
    </row>
  </sheetData>
  <pageMargins left="0.7" right="0.7" top="0.75" bottom="0.75" header="0.3" footer="0.3"/>
  <pageSetup scale="75" fitToWidth="0" fitToHeight="0"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92D050"/>
  </sheetPr>
  <dimension ref="A1:XFD148"/>
  <sheetViews>
    <sheetView workbookViewId="0">
      <pane xSplit="6" ySplit="3" topLeftCell="G4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baseColWidth="10" defaultColWidth="8.83203125" defaultRowHeight="13" x14ac:dyDescent="0.15"/>
  <cols>
    <col min="1" max="1" width="39.5" style="54" customWidth="1"/>
    <col min="2" max="2" width="12.5" style="54" customWidth="1"/>
    <col min="3" max="3" width="13.1640625" style="76" customWidth="1"/>
    <col min="4" max="6" width="13.1640625" style="54" customWidth="1"/>
    <col min="7" max="7" width="11.5" style="54" customWidth="1"/>
    <col min="8" max="54" width="11.5" style="52" customWidth="1"/>
    <col min="55" max="16384" width="8.83203125" style="52"/>
  </cols>
  <sheetData>
    <row r="1" spans="1:16384" s="32" customFormat="1" ht="18" x14ac:dyDescent="0.2">
      <c r="A1" s="206" t="str">
        <f>Main!H1</f>
        <v>BobCo</v>
      </c>
      <c r="B1" s="27"/>
      <c r="C1" s="28" t="s">
        <v>48</v>
      </c>
      <c r="D1" s="29"/>
      <c r="E1" s="29"/>
      <c r="F1" s="29"/>
      <c r="G1" s="30" t="s">
        <v>56</v>
      </c>
      <c r="H1" s="31"/>
      <c r="I1" s="31"/>
      <c r="J1" s="31"/>
      <c r="K1" s="30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16384" ht="16" x14ac:dyDescent="0.2">
      <c r="A2" s="332" t="s">
        <v>187</v>
      </c>
      <c r="B2" s="16"/>
      <c r="D2" s="33"/>
      <c r="E2" s="33"/>
      <c r="F2" s="33"/>
      <c r="G2" s="34">
        <f t="shared" ref="G2:BB2" si="0">YEAR(G3)</f>
        <v>2019</v>
      </c>
      <c r="H2" s="35">
        <f t="shared" si="0"/>
        <v>2019</v>
      </c>
      <c r="I2" s="35">
        <f t="shared" si="0"/>
        <v>2019</v>
      </c>
      <c r="J2" s="35">
        <f t="shared" si="0"/>
        <v>2019</v>
      </c>
      <c r="K2" s="35">
        <f t="shared" si="0"/>
        <v>2019</v>
      </c>
      <c r="L2" s="35">
        <f t="shared" si="0"/>
        <v>2019</v>
      </c>
      <c r="M2" s="35">
        <f t="shared" si="0"/>
        <v>2019</v>
      </c>
      <c r="N2" s="35">
        <f t="shared" si="0"/>
        <v>2019</v>
      </c>
      <c r="O2" s="35">
        <f t="shared" si="0"/>
        <v>2019</v>
      </c>
      <c r="P2" s="35">
        <f t="shared" si="0"/>
        <v>2019</v>
      </c>
      <c r="Q2" s="35">
        <f t="shared" si="0"/>
        <v>2019</v>
      </c>
      <c r="R2" s="35">
        <f t="shared" si="0"/>
        <v>2019</v>
      </c>
      <c r="S2" s="35">
        <f t="shared" si="0"/>
        <v>2020</v>
      </c>
      <c r="T2" s="35">
        <f t="shared" si="0"/>
        <v>2020</v>
      </c>
      <c r="U2" s="35">
        <f t="shared" si="0"/>
        <v>2020</v>
      </c>
      <c r="V2" s="35">
        <f t="shared" si="0"/>
        <v>2020</v>
      </c>
      <c r="W2" s="35">
        <f t="shared" si="0"/>
        <v>2020</v>
      </c>
      <c r="X2" s="35">
        <f t="shared" si="0"/>
        <v>2020</v>
      </c>
      <c r="Y2" s="35">
        <f t="shared" si="0"/>
        <v>2020</v>
      </c>
      <c r="Z2" s="35">
        <f t="shared" si="0"/>
        <v>2020</v>
      </c>
      <c r="AA2" s="35">
        <f t="shared" si="0"/>
        <v>2020</v>
      </c>
      <c r="AB2" s="35">
        <f t="shared" si="0"/>
        <v>2020</v>
      </c>
      <c r="AC2" s="35">
        <f t="shared" si="0"/>
        <v>2020</v>
      </c>
      <c r="AD2" s="35">
        <f t="shared" si="0"/>
        <v>2020</v>
      </c>
      <c r="AE2" s="35">
        <f t="shared" si="0"/>
        <v>2021</v>
      </c>
      <c r="AF2" s="35">
        <f t="shared" si="0"/>
        <v>2021</v>
      </c>
      <c r="AG2" s="35">
        <f t="shared" si="0"/>
        <v>2021</v>
      </c>
      <c r="AH2" s="35">
        <f t="shared" si="0"/>
        <v>2021</v>
      </c>
      <c r="AI2" s="35">
        <f t="shared" si="0"/>
        <v>2021</v>
      </c>
      <c r="AJ2" s="35">
        <f t="shared" si="0"/>
        <v>2021</v>
      </c>
      <c r="AK2" s="35">
        <f t="shared" si="0"/>
        <v>2021</v>
      </c>
      <c r="AL2" s="35">
        <f t="shared" si="0"/>
        <v>2021</v>
      </c>
      <c r="AM2" s="35">
        <f t="shared" si="0"/>
        <v>2021</v>
      </c>
      <c r="AN2" s="35">
        <f t="shared" si="0"/>
        <v>2021</v>
      </c>
      <c r="AO2" s="35">
        <f t="shared" si="0"/>
        <v>2021</v>
      </c>
      <c r="AP2" s="35">
        <f t="shared" si="0"/>
        <v>2021</v>
      </c>
      <c r="AQ2" s="35">
        <f t="shared" si="0"/>
        <v>2022</v>
      </c>
      <c r="AR2" s="35">
        <f t="shared" si="0"/>
        <v>2022</v>
      </c>
      <c r="AS2" s="35">
        <f t="shared" si="0"/>
        <v>2022</v>
      </c>
      <c r="AT2" s="35">
        <f t="shared" si="0"/>
        <v>2022</v>
      </c>
      <c r="AU2" s="35">
        <f t="shared" si="0"/>
        <v>2022</v>
      </c>
      <c r="AV2" s="35">
        <f t="shared" si="0"/>
        <v>2022</v>
      </c>
      <c r="AW2" s="35">
        <f t="shared" si="0"/>
        <v>2022</v>
      </c>
      <c r="AX2" s="35">
        <f t="shared" si="0"/>
        <v>2022</v>
      </c>
      <c r="AY2" s="35">
        <f t="shared" si="0"/>
        <v>2022</v>
      </c>
      <c r="AZ2" s="35">
        <f t="shared" si="0"/>
        <v>2022</v>
      </c>
      <c r="BA2" s="35">
        <f t="shared" si="0"/>
        <v>2022</v>
      </c>
      <c r="BB2" s="35">
        <f t="shared" si="0"/>
        <v>2022</v>
      </c>
    </row>
    <row r="3" spans="1:16384" s="53" customFormat="1" x14ac:dyDescent="0.15">
      <c r="B3" s="36" t="s">
        <v>5</v>
      </c>
      <c r="C3" s="37">
        <f>YEAR(Main!$H$2)</f>
        <v>2019</v>
      </c>
      <c r="D3" s="38">
        <f>C3+1</f>
        <v>2020</v>
      </c>
      <c r="E3" s="38">
        <f t="shared" ref="E3:F3" si="1">D3+1</f>
        <v>2021</v>
      </c>
      <c r="F3" s="38">
        <f t="shared" si="1"/>
        <v>2022</v>
      </c>
      <c r="G3" s="39">
        <f>EOMONTH(Main!$H$2,0)</f>
        <v>43496</v>
      </c>
      <c r="H3" s="40">
        <f>EOMONTH(G3,1)</f>
        <v>43524</v>
      </c>
      <c r="I3" s="40">
        <f>EOMONTH(H3,1)</f>
        <v>43555</v>
      </c>
      <c r="J3" s="40">
        <f t="shared" ref="J3:BB3" si="2">EOMONTH(I3,1)</f>
        <v>43585</v>
      </c>
      <c r="K3" s="40">
        <f t="shared" si="2"/>
        <v>43616</v>
      </c>
      <c r="L3" s="40">
        <f t="shared" si="2"/>
        <v>43646</v>
      </c>
      <c r="M3" s="40">
        <f t="shared" si="2"/>
        <v>43677</v>
      </c>
      <c r="N3" s="40">
        <f t="shared" si="2"/>
        <v>43708</v>
      </c>
      <c r="O3" s="40">
        <f t="shared" si="2"/>
        <v>43738</v>
      </c>
      <c r="P3" s="40">
        <f t="shared" si="2"/>
        <v>43769</v>
      </c>
      <c r="Q3" s="40">
        <f t="shared" si="2"/>
        <v>43799</v>
      </c>
      <c r="R3" s="40">
        <f t="shared" si="2"/>
        <v>43830</v>
      </c>
      <c r="S3" s="40">
        <f t="shared" si="2"/>
        <v>43861</v>
      </c>
      <c r="T3" s="40">
        <f t="shared" si="2"/>
        <v>43890</v>
      </c>
      <c r="U3" s="40">
        <f t="shared" si="2"/>
        <v>43921</v>
      </c>
      <c r="V3" s="40">
        <f t="shared" si="2"/>
        <v>43951</v>
      </c>
      <c r="W3" s="40">
        <f t="shared" si="2"/>
        <v>43982</v>
      </c>
      <c r="X3" s="40">
        <f t="shared" si="2"/>
        <v>44012</v>
      </c>
      <c r="Y3" s="40">
        <f t="shared" si="2"/>
        <v>44043</v>
      </c>
      <c r="Z3" s="40">
        <f t="shared" si="2"/>
        <v>44074</v>
      </c>
      <c r="AA3" s="40">
        <f t="shared" si="2"/>
        <v>44104</v>
      </c>
      <c r="AB3" s="40">
        <f t="shared" si="2"/>
        <v>44135</v>
      </c>
      <c r="AC3" s="40">
        <f t="shared" si="2"/>
        <v>44165</v>
      </c>
      <c r="AD3" s="40">
        <f t="shared" si="2"/>
        <v>44196</v>
      </c>
      <c r="AE3" s="40">
        <f t="shared" si="2"/>
        <v>44227</v>
      </c>
      <c r="AF3" s="40">
        <f t="shared" si="2"/>
        <v>44255</v>
      </c>
      <c r="AG3" s="40">
        <f t="shared" si="2"/>
        <v>44286</v>
      </c>
      <c r="AH3" s="40">
        <f t="shared" si="2"/>
        <v>44316</v>
      </c>
      <c r="AI3" s="40">
        <f t="shared" si="2"/>
        <v>44347</v>
      </c>
      <c r="AJ3" s="40">
        <f t="shared" si="2"/>
        <v>44377</v>
      </c>
      <c r="AK3" s="40">
        <f t="shared" si="2"/>
        <v>44408</v>
      </c>
      <c r="AL3" s="40">
        <f t="shared" si="2"/>
        <v>44439</v>
      </c>
      <c r="AM3" s="40">
        <f t="shared" si="2"/>
        <v>44469</v>
      </c>
      <c r="AN3" s="40">
        <f t="shared" si="2"/>
        <v>44500</v>
      </c>
      <c r="AO3" s="40">
        <f t="shared" si="2"/>
        <v>44530</v>
      </c>
      <c r="AP3" s="40">
        <f t="shared" si="2"/>
        <v>44561</v>
      </c>
      <c r="AQ3" s="40">
        <f t="shared" si="2"/>
        <v>44592</v>
      </c>
      <c r="AR3" s="40">
        <f t="shared" si="2"/>
        <v>44620</v>
      </c>
      <c r="AS3" s="40">
        <f t="shared" si="2"/>
        <v>44651</v>
      </c>
      <c r="AT3" s="40">
        <f t="shared" si="2"/>
        <v>44681</v>
      </c>
      <c r="AU3" s="40">
        <f t="shared" si="2"/>
        <v>44712</v>
      </c>
      <c r="AV3" s="40">
        <f t="shared" si="2"/>
        <v>44742</v>
      </c>
      <c r="AW3" s="40">
        <f t="shared" si="2"/>
        <v>44773</v>
      </c>
      <c r="AX3" s="40">
        <f t="shared" si="2"/>
        <v>44804</v>
      </c>
      <c r="AY3" s="40">
        <f t="shared" si="2"/>
        <v>44834</v>
      </c>
      <c r="AZ3" s="40">
        <f t="shared" si="2"/>
        <v>44865</v>
      </c>
      <c r="BA3" s="40">
        <f t="shared" si="2"/>
        <v>44895</v>
      </c>
      <c r="BB3" s="40">
        <f t="shared" si="2"/>
        <v>44926</v>
      </c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  <c r="WUX3" s="40"/>
      <c r="WUY3" s="40"/>
      <c r="WUZ3" s="40"/>
      <c r="WVA3" s="40"/>
      <c r="WVB3" s="40"/>
      <c r="WVC3" s="40"/>
      <c r="WVD3" s="40"/>
      <c r="WVE3" s="40"/>
      <c r="WVF3" s="40"/>
      <c r="WVG3" s="40"/>
      <c r="WVH3" s="40"/>
      <c r="WVI3" s="40"/>
      <c r="WVJ3" s="40"/>
      <c r="WVK3" s="40"/>
      <c r="WVL3" s="40"/>
      <c r="WVM3" s="40"/>
      <c r="WVN3" s="40"/>
      <c r="WVO3" s="40"/>
      <c r="WVP3" s="40"/>
      <c r="WVQ3" s="40"/>
      <c r="WVR3" s="40"/>
      <c r="WVS3" s="40"/>
      <c r="WVT3" s="40"/>
      <c r="WVU3" s="40"/>
      <c r="WVV3" s="40"/>
      <c r="WVW3" s="40"/>
      <c r="WVX3" s="40"/>
      <c r="WVY3" s="40"/>
      <c r="WVZ3" s="40"/>
      <c r="WWA3" s="40"/>
      <c r="WWB3" s="40"/>
      <c r="WWC3" s="40"/>
      <c r="WWD3" s="40"/>
      <c r="WWE3" s="40"/>
      <c r="WWF3" s="40"/>
      <c r="WWG3" s="40"/>
      <c r="WWH3" s="40"/>
      <c r="WWI3" s="40"/>
      <c r="WWJ3" s="40"/>
      <c r="WWK3" s="40"/>
      <c r="WWL3" s="40"/>
      <c r="WWM3" s="40"/>
      <c r="WWN3" s="40"/>
      <c r="WWO3" s="40"/>
      <c r="WWP3" s="40"/>
      <c r="WWQ3" s="40"/>
      <c r="WWR3" s="40"/>
      <c r="WWS3" s="40"/>
      <c r="WWT3" s="40"/>
      <c r="WWU3" s="40"/>
      <c r="WWV3" s="40"/>
      <c r="WWW3" s="40"/>
      <c r="WWX3" s="40"/>
      <c r="WWY3" s="40"/>
      <c r="WWZ3" s="40"/>
      <c r="WXA3" s="40"/>
      <c r="WXB3" s="40"/>
      <c r="WXC3" s="40"/>
      <c r="WXD3" s="40"/>
      <c r="WXE3" s="40"/>
      <c r="WXF3" s="40"/>
      <c r="WXG3" s="40"/>
      <c r="WXH3" s="40"/>
      <c r="WXI3" s="40"/>
      <c r="WXJ3" s="40"/>
      <c r="WXK3" s="40"/>
      <c r="WXL3" s="40"/>
      <c r="WXM3" s="40"/>
      <c r="WXN3" s="40"/>
      <c r="WXO3" s="40"/>
      <c r="WXP3" s="40"/>
      <c r="WXQ3" s="40"/>
      <c r="WXR3" s="40"/>
      <c r="WXS3" s="40"/>
      <c r="WXT3" s="40"/>
      <c r="WXU3" s="40"/>
      <c r="WXV3" s="40"/>
      <c r="WXW3" s="40"/>
      <c r="WXX3" s="40"/>
      <c r="WXY3" s="40"/>
      <c r="WXZ3" s="40"/>
      <c r="WYA3" s="40"/>
      <c r="WYB3" s="40"/>
      <c r="WYC3" s="40"/>
      <c r="WYD3" s="40"/>
      <c r="WYE3" s="40"/>
      <c r="WYF3" s="40"/>
      <c r="WYG3" s="40"/>
      <c r="WYH3" s="40"/>
      <c r="WYI3" s="40"/>
      <c r="WYJ3" s="40"/>
      <c r="WYK3" s="40"/>
      <c r="WYL3" s="40"/>
      <c r="WYM3" s="40"/>
      <c r="WYN3" s="40"/>
      <c r="WYO3" s="40"/>
      <c r="WYP3" s="40"/>
      <c r="WYQ3" s="40"/>
      <c r="WYR3" s="40"/>
      <c r="WYS3" s="40"/>
      <c r="WYT3" s="40"/>
      <c r="WYU3" s="40"/>
      <c r="WYV3" s="40"/>
      <c r="WYW3" s="40"/>
      <c r="WYX3" s="40"/>
      <c r="WYY3" s="40"/>
      <c r="WYZ3" s="40"/>
      <c r="WZA3" s="40"/>
      <c r="WZB3" s="40"/>
      <c r="WZC3" s="40"/>
      <c r="WZD3" s="40"/>
      <c r="WZE3" s="40"/>
      <c r="WZF3" s="40"/>
      <c r="WZG3" s="40"/>
      <c r="WZH3" s="40"/>
      <c r="WZI3" s="40"/>
      <c r="WZJ3" s="40"/>
      <c r="WZK3" s="40"/>
      <c r="WZL3" s="40"/>
      <c r="WZM3" s="40"/>
      <c r="WZN3" s="40"/>
      <c r="WZO3" s="40"/>
      <c r="WZP3" s="40"/>
      <c r="WZQ3" s="40"/>
      <c r="WZR3" s="40"/>
      <c r="WZS3" s="40"/>
      <c r="WZT3" s="40"/>
      <c r="WZU3" s="40"/>
      <c r="WZV3" s="40"/>
      <c r="WZW3" s="40"/>
      <c r="WZX3" s="40"/>
      <c r="WZY3" s="40"/>
      <c r="WZZ3" s="40"/>
      <c r="XAA3" s="40"/>
      <c r="XAB3" s="40"/>
      <c r="XAC3" s="40"/>
      <c r="XAD3" s="40"/>
      <c r="XAE3" s="40"/>
      <c r="XAF3" s="40"/>
      <c r="XAG3" s="40"/>
      <c r="XAH3" s="40"/>
      <c r="XAI3" s="40"/>
      <c r="XAJ3" s="40"/>
      <c r="XAK3" s="40"/>
      <c r="XAL3" s="40"/>
      <c r="XAM3" s="40"/>
      <c r="XAN3" s="40"/>
      <c r="XAO3" s="40"/>
      <c r="XAP3" s="40"/>
      <c r="XAQ3" s="40"/>
      <c r="XAR3" s="40"/>
      <c r="XAS3" s="40"/>
      <c r="XAT3" s="40"/>
      <c r="XAU3" s="40"/>
      <c r="XAV3" s="40"/>
      <c r="XAW3" s="40"/>
      <c r="XAX3" s="40"/>
      <c r="XAY3" s="40"/>
      <c r="XAZ3" s="40"/>
      <c r="XBA3" s="40"/>
      <c r="XBB3" s="40"/>
      <c r="XBC3" s="40"/>
      <c r="XBD3" s="40"/>
      <c r="XBE3" s="40"/>
      <c r="XBF3" s="40"/>
      <c r="XBG3" s="40"/>
      <c r="XBH3" s="40"/>
      <c r="XBI3" s="40"/>
      <c r="XBJ3" s="40"/>
      <c r="XBK3" s="40"/>
      <c r="XBL3" s="40"/>
      <c r="XBM3" s="40"/>
      <c r="XBN3" s="40"/>
      <c r="XBO3" s="40"/>
      <c r="XBP3" s="40"/>
      <c r="XBQ3" s="40"/>
      <c r="XBR3" s="40"/>
      <c r="XBS3" s="40"/>
      <c r="XBT3" s="40"/>
      <c r="XBU3" s="40"/>
      <c r="XBV3" s="40"/>
      <c r="XBW3" s="40"/>
      <c r="XBX3" s="40"/>
      <c r="XBY3" s="40"/>
      <c r="XBZ3" s="40"/>
      <c r="XCA3" s="40"/>
      <c r="XCB3" s="40"/>
      <c r="XCC3" s="40"/>
      <c r="XCD3" s="40"/>
      <c r="XCE3" s="40"/>
      <c r="XCF3" s="40"/>
      <c r="XCG3" s="40"/>
      <c r="XCH3" s="40"/>
      <c r="XCI3" s="40"/>
      <c r="XCJ3" s="40"/>
      <c r="XCK3" s="40"/>
      <c r="XCL3" s="40"/>
      <c r="XCM3" s="40"/>
      <c r="XCN3" s="40"/>
      <c r="XCO3" s="40"/>
      <c r="XCP3" s="40"/>
      <c r="XCQ3" s="40"/>
      <c r="XCR3" s="40"/>
      <c r="XCS3" s="40"/>
      <c r="XCT3" s="40"/>
      <c r="XCU3" s="40"/>
      <c r="XCV3" s="40"/>
      <c r="XCW3" s="40"/>
      <c r="XCX3" s="40"/>
      <c r="XCY3" s="40"/>
      <c r="XCZ3" s="40"/>
      <c r="XDA3" s="40"/>
      <c r="XDB3" s="40"/>
      <c r="XDC3" s="40"/>
      <c r="XDD3" s="40"/>
      <c r="XDE3" s="40"/>
      <c r="XDF3" s="40"/>
      <c r="XDG3" s="40"/>
      <c r="XDH3" s="40"/>
      <c r="XDI3" s="40"/>
      <c r="XDJ3" s="40"/>
      <c r="XDK3" s="40"/>
      <c r="XDL3" s="40"/>
      <c r="XDM3" s="40"/>
      <c r="XDN3" s="40"/>
      <c r="XDO3" s="40"/>
      <c r="XDP3" s="40"/>
      <c r="XDQ3" s="40"/>
      <c r="XDR3" s="40"/>
      <c r="XDS3" s="40"/>
      <c r="XDT3" s="40"/>
      <c r="XDU3" s="40"/>
      <c r="XDV3" s="40"/>
      <c r="XDW3" s="40"/>
      <c r="XDX3" s="40"/>
      <c r="XDY3" s="40"/>
      <c r="XDZ3" s="40"/>
      <c r="XEA3" s="40"/>
      <c r="XEB3" s="40"/>
      <c r="XEC3" s="40"/>
      <c r="XED3" s="40"/>
      <c r="XEE3" s="40"/>
      <c r="XEF3" s="40"/>
      <c r="XEG3" s="40"/>
      <c r="XEH3" s="40"/>
      <c r="XEI3" s="40"/>
      <c r="XEJ3" s="40"/>
      <c r="XEK3" s="40"/>
      <c r="XEL3" s="40"/>
      <c r="XEM3" s="40"/>
      <c r="XEN3" s="40"/>
      <c r="XEO3" s="40"/>
      <c r="XEP3" s="40"/>
      <c r="XEQ3" s="40"/>
      <c r="XER3" s="40"/>
      <c r="XES3" s="40"/>
      <c r="XET3" s="40"/>
      <c r="XEU3" s="40"/>
      <c r="XEV3" s="40"/>
      <c r="XEW3" s="40"/>
      <c r="XEX3" s="40"/>
      <c r="XEY3" s="40"/>
      <c r="XEZ3" s="40"/>
      <c r="XFA3" s="40"/>
      <c r="XFB3" s="40"/>
      <c r="XFC3" s="40"/>
      <c r="XFD3" s="40"/>
    </row>
    <row r="4" spans="1:16384" s="204" customFormat="1" ht="16" x14ac:dyDescent="0.2">
      <c r="A4" s="193" t="s">
        <v>2</v>
      </c>
      <c r="B4" s="193"/>
      <c r="C4" s="210"/>
      <c r="D4" s="193"/>
      <c r="E4" s="193"/>
      <c r="F4" s="193"/>
    </row>
    <row r="5" spans="1:16384" x14ac:dyDescent="0.15">
      <c r="A5" s="95" t="s">
        <v>177</v>
      </c>
      <c r="C5" s="172">
        <f t="shared" ref="C5:F9" ca="1" si="3">SUMIFS($G5:$BB5,$G$2:$BB$2,C$3)</f>
        <v>8313.0564181447626</v>
      </c>
      <c r="D5" s="171">
        <f t="shared" ca="1" si="3"/>
        <v>106252.51318886426</v>
      </c>
      <c r="E5" s="171">
        <f t="shared" ca="1" si="3"/>
        <v>305940.23600822542</v>
      </c>
      <c r="F5" s="171">
        <f t="shared" ca="1" si="3"/>
        <v>939756.31792767881</v>
      </c>
      <c r="G5" s="171">
        <f>+Sales!G42</f>
        <v>100</v>
      </c>
      <c r="H5" s="173">
        <f ca="1">+Sales!H42</f>
        <v>152.08333333333331</v>
      </c>
      <c r="I5" s="173">
        <f ca="1">+Sales!I42</f>
        <v>178.63672748858886</v>
      </c>
      <c r="J5" s="173">
        <f ca="1">+Sales!J42</f>
        <v>226.18801331004582</v>
      </c>
      <c r="K5" s="173">
        <f ca="1">+Sales!K42</f>
        <v>251.09461886345466</v>
      </c>
      <c r="L5" s="173">
        <f ca="1">+Sales!L42</f>
        <v>264.7392626057474</v>
      </c>
      <c r="M5" s="173">
        <f ca="1">+Sales!M42</f>
        <v>572.78548239537974</v>
      </c>
      <c r="N5" s="173">
        <f ca="1">+Sales!N42</f>
        <v>895.61196370880612</v>
      </c>
      <c r="O5" s="173">
        <f ca="1">+Sales!O42</f>
        <v>1226.7704149973679</v>
      </c>
      <c r="P5" s="173">
        <f ca="1">+Sales!P42</f>
        <v>1396.4047829398137</v>
      </c>
      <c r="Q5" s="173">
        <f ca="1">+Sales!Q42</f>
        <v>1493.5887155271416</v>
      </c>
      <c r="R5" s="173">
        <f ca="1">+Sales!R42</f>
        <v>1555.1531029750834</v>
      </c>
      <c r="S5" s="173">
        <f ca="1">+Sales!S42</f>
        <v>3875.2915190119706</v>
      </c>
      <c r="T5" s="173">
        <f ca="1">+Sales!T42</f>
        <v>5594.670955101843</v>
      </c>
      <c r="U5" s="173">
        <f ca="1">+Sales!U42</f>
        <v>6920.2505892189347</v>
      </c>
      <c r="V5" s="173">
        <f ca="1">+Sales!V42</f>
        <v>7824.6179989732882</v>
      </c>
      <c r="W5" s="173">
        <f ca="1">+Sales!W42</f>
        <v>8463.9219198602259</v>
      </c>
      <c r="X5" s="173">
        <f ca="1">+Sales!X42</f>
        <v>8933.6804200186889</v>
      </c>
      <c r="Y5" s="173">
        <f ca="1">+Sales!Y42</f>
        <v>9463.5954626735838</v>
      </c>
      <c r="Z5" s="173">
        <f ca="1">+Sales!Z42</f>
        <v>10038.362965338885</v>
      </c>
      <c r="AA5" s="173">
        <f ca="1">+Sales!AA42</f>
        <v>10647.957380897918</v>
      </c>
      <c r="AB5" s="173">
        <f ca="1">+Sales!AB42</f>
        <v>11119.174045333744</v>
      </c>
      <c r="AC5" s="173">
        <f ca="1">+Sales!AC42</f>
        <v>11512.099921295754</v>
      </c>
      <c r="AD5" s="173">
        <f ca="1">+Sales!AD42</f>
        <v>11858.890011139436</v>
      </c>
      <c r="AE5" s="173">
        <f ca="1">+Sales!AE42</f>
        <v>15740.558109662523</v>
      </c>
      <c r="AF5" s="173">
        <f ca="1">+Sales!AF42</f>
        <v>18626.076431845482</v>
      </c>
      <c r="AG5" s="173">
        <f ca="1">+Sales!AG42</f>
        <v>20801.190861485389</v>
      </c>
      <c r="AH5" s="173">
        <f ca="1">+Sales!AH42</f>
        <v>22471.508575615651</v>
      </c>
      <c r="AI5" s="173">
        <f ca="1">+Sales!AI42</f>
        <v>23785.186040726323</v>
      </c>
      <c r="AJ5" s="173">
        <f ca="1">+Sales!AJ42</f>
        <v>24848.956483510414</v>
      </c>
      <c r="AK5" s="173">
        <f ca="1">+Sales!AK42</f>
        <v>26459.699407055108</v>
      </c>
      <c r="AL5" s="173">
        <f ca="1">+Sales!AL42</f>
        <v>27752.141410550714</v>
      </c>
      <c r="AM5" s="173">
        <f ca="1">+Sales!AM42</f>
        <v>28823.005774571175</v>
      </c>
      <c r="AN5" s="173">
        <f ca="1">+Sales!AN42</f>
        <v>30628.326184293881</v>
      </c>
      <c r="AO5" s="173">
        <f ca="1">+Sales!AO42</f>
        <v>32251.340207298701</v>
      </c>
      <c r="AP5" s="173">
        <f ca="1">+Sales!AP42</f>
        <v>33752.246521610075</v>
      </c>
      <c r="AQ5" s="173">
        <f ca="1">+Sales!AQ42</f>
        <v>45037.686566150383</v>
      </c>
      <c r="AR5" s="173">
        <f ca="1">+Sales!AR42</f>
        <v>54183.902030089477</v>
      </c>
      <c r="AS5" s="173">
        <f ca="1">+Sales!AS42</f>
        <v>61681.071890718653</v>
      </c>
      <c r="AT5" s="173">
        <f ca="1">+Sales!AT42</f>
        <v>68078.639430537922</v>
      </c>
      <c r="AU5" s="173">
        <f ca="1">+Sales!AU42</f>
        <v>73646.805630840317</v>
      </c>
      <c r="AV5" s="173">
        <f ca="1">+Sales!AV42</f>
        <v>78589.390424878977</v>
      </c>
      <c r="AW5" s="173">
        <f ca="1">+Sales!AW42</f>
        <v>83065.932103165076</v>
      </c>
      <c r="AX5" s="173">
        <f ca="1">+Sales!AX42</f>
        <v>87215.456452414452</v>
      </c>
      <c r="AY5" s="173">
        <f ca="1">+Sales!AY42</f>
        <v>91131.943409898086</v>
      </c>
      <c r="AZ5" s="173">
        <f ca="1">+Sales!AZ42</f>
        <v>95055.942830527172</v>
      </c>
      <c r="BA5" s="173">
        <f ca="1">+Sales!BA42</f>
        <v>99023.026003875741</v>
      </c>
      <c r="BB5" s="173">
        <f ca="1">+Sales!BB42</f>
        <v>103046.52115458256</v>
      </c>
    </row>
    <row r="6" spans="1:16384" x14ac:dyDescent="0.15">
      <c r="A6" s="95" t="s">
        <v>179</v>
      </c>
      <c r="C6" s="172">
        <f t="shared" ca="1" si="3"/>
        <v>83130.564181447611</v>
      </c>
      <c r="D6" s="171">
        <f t="shared" ca="1" si="3"/>
        <v>1062525.1318886424</v>
      </c>
      <c r="E6" s="171">
        <f t="shared" ca="1" si="3"/>
        <v>3059402.3600822547</v>
      </c>
      <c r="F6" s="171">
        <f t="shared" ca="1" si="3"/>
        <v>9397563.1792767886</v>
      </c>
      <c r="G6" s="171">
        <f ca="1">SUM(OFFSET(G5,0,-MIN(COLUMNS($G$3:G$3)-1,Main!$C$18-1)):G5)*INDEX(Main!$C$16:$F$16,G$2-YEAR(Main!$H$2)+1)</f>
        <v>1000</v>
      </c>
      <c r="H6" s="173">
        <f ca="1">SUM(OFFSET(H5,0,-MIN(COLUMNS($G$3:H$3)-1,Main!$C$18-1)):H5)*INDEX(Main!$C$16:$F$16,H$2-YEAR(Main!$H$2)+1)</f>
        <v>1520.833333333333</v>
      </c>
      <c r="I6" s="173">
        <f ca="1">SUM(OFFSET(I5,0,-MIN(COLUMNS($G$3:I$3)-1,Main!$C$18-1)):I5)*INDEX(Main!$C$16:$F$16,I$2-YEAR(Main!$H$2)+1)</f>
        <v>1786.3672748858885</v>
      </c>
      <c r="J6" s="173">
        <f ca="1">SUM(OFFSET(J5,0,-MIN(COLUMNS($G$3:J$3)-1,Main!$C$18-1)):J5)*INDEX(Main!$C$16:$F$16,J$2-YEAR(Main!$H$2)+1)</f>
        <v>2261.8801331004584</v>
      </c>
      <c r="K6" s="173">
        <f ca="1">SUM(OFFSET(K5,0,-MIN(COLUMNS($G$3:K$3)-1,Main!$C$18-1)):K5)*INDEX(Main!$C$16:$F$16,K$2-YEAR(Main!$H$2)+1)</f>
        <v>2510.9461886345466</v>
      </c>
      <c r="L6" s="173">
        <f ca="1">SUM(OFFSET(L5,0,-MIN(COLUMNS($G$3:L$3)-1,Main!$C$18-1)):L5)*INDEX(Main!$C$16:$F$16,L$2-YEAR(Main!$H$2)+1)</f>
        <v>2647.392626057474</v>
      </c>
      <c r="M6" s="173">
        <f ca="1">SUM(OFFSET(M5,0,-MIN(COLUMNS($G$3:M$3)-1,Main!$C$18-1)):M5)*INDEX(Main!$C$16:$F$16,M$2-YEAR(Main!$H$2)+1)</f>
        <v>5727.8548239537977</v>
      </c>
      <c r="N6" s="173">
        <f ca="1">SUM(OFFSET(N5,0,-MIN(COLUMNS($G$3:N$3)-1,Main!$C$18-1)):N5)*INDEX(Main!$C$16:$F$16,N$2-YEAR(Main!$H$2)+1)</f>
        <v>8956.1196370880607</v>
      </c>
      <c r="O6" s="173">
        <f ca="1">SUM(OFFSET(O5,0,-MIN(COLUMNS($G$3:O$3)-1,Main!$C$18-1)):O5)*INDEX(Main!$C$16:$F$16,O$2-YEAR(Main!$H$2)+1)</f>
        <v>12267.704149973679</v>
      </c>
      <c r="P6" s="173">
        <f ca="1">SUM(OFFSET(P5,0,-MIN(COLUMNS($G$3:P$3)-1,Main!$C$18-1)):P5)*INDEX(Main!$C$16:$F$16,P$2-YEAR(Main!$H$2)+1)</f>
        <v>13964.047829398136</v>
      </c>
      <c r="Q6" s="173">
        <f ca="1">SUM(OFFSET(Q5,0,-MIN(COLUMNS($G$3:Q$3)-1,Main!$C$18-1)):Q5)*INDEX(Main!$C$16:$F$16,Q$2-YEAR(Main!$H$2)+1)</f>
        <v>14935.887155271415</v>
      </c>
      <c r="R6" s="173">
        <f ca="1">SUM(OFFSET(R5,0,-MIN(COLUMNS($G$3:R$3)-1,Main!$C$18-1)):R5)*INDEX(Main!$C$16:$F$16,R$2-YEAR(Main!$H$2)+1)</f>
        <v>15551.531029750833</v>
      </c>
      <c r="S6" s="173">
        <f ca="1">SUM(OFFSET(S5,0,-MIN(COLUMNS($G$3:S$3)-1,Main!$C$18-1)):S5)*INDEX(Main!$C$16:$F$16,S$2-YEAR(Main!$H$2)+1)</f>
        <v>38752.915190119704</v>
      </c>
      <c r="T6" s="173">
        <f ca="1">SUM(OFFSET(T5,0,-MIN(COLUMNS($G$3:T$3)-1,Main!$C$18-1)):T5)*INDEX(Main!$C$16:$F$16,T$2-YEAR(Main!$H$2)+1)</f>
        <v>55946.70955101843</v>
      </c>
      <c r="U6" s="173">
        <f ca="1">SUM(OFFSET(U5,0,-MIN(COLUMNS($G$3:U$3)-1,Main!$C$18-1)):U5)*INDEX(Main!$C$16:$F$16,U$2-YEAR(Main!$H$2)+1)</f>
        <v>69202.505892189351</v>
      </c>
      <c r="V6" s="173">
        <f ca="1">SUM(OFFSET(V5,0,-MIN(COLUMNS($G$3:V$3)-1,Main!$C$18-1)):V5)*INDEX(Main!$C$16:$F$16,V$2-YEAR(Main!$H$2)+1)</f>
        <v>78246.179989732889</v>
      </c>
      <c r="W6" s="173">
        <f ca="1">SUM(OFFSET(W5,0,-MIN(COLUMNS($G$3:W$3)-1,Main!$C$18-1)):W5)*INDEX(Main!$C$16:$F$16,W$2-YEAR(Main!$H$2)+1)</f>
        <v>84639.219198602252</v>
      </c>
      <c r="X6" s="173">
        <f ca="1">SUM(OFFSET(X5,0,-MIN(COLUMNS($G$3:X$3)-1,Main!$C$18-1)):X5)*INDEX(Main!$C$16:$F$16,X$2-YEAR(Main!$H$2)+1)</f>
        <v>89336.804200186889</v>
      </c>
      <c r="Y6" s="173">
        <f ca="1">SUM(OFFSET(Y5,0,-MIN(COLUMNS($G$3:Y$3)-1,Main!$C$18-1)):Y5)*INDEX(Main!$C$16:$F$16,Y$2-YEAR(Main!$H$2)+1)</f>
        <v>94635.954626735838</v>
      </c>
      <c r="Z6" s="173">
        <f ca="1">SUM(OFFSET(Z5,0,-MIN(COLUMNS($G$3:Z$3)-1,Main!$C$18-1)):Z5)*INDEX(Main!$C$16:$F$16,Z$2-YEAR(Main!$H$2)+1)</f>
        <v>100383.62965338885</v>
      </c>
      <c r="AA6" s="173">
        <f ca="1">SUM(OFFSET(AA5,0,-MIN(COLUMNS($G$3:AA$3)-1,Main!$C$18-1)):AA5)*INDEX(Main!$C$16:$F$16,AA$2-YEAR(Main!$H$2)+1)</f>
        <v>106479.57380897918</v>
      </c>
      <c r="AB6" s="173">
        <f ca="1">SUM(OFFSET(AB5,0,-MIN(COLUMNS($G$3:AB$3)-1,Main!$C$18-1)):AB5)*INDEX(Main!$C$16:$F$16,AB$2-YEAR(Main!$H$2)+1)</f>
        <v>111191.74045333744</v>
      </c>
      <c r="AC6" s="173">
        <f ca="1">SUM(OFFSET(AC5,0,-MIN(COLUMNS($G$3:AC$3)-1,Main!$C$18-1)):AC5)*INDEX(Main!$C$16:$F$16,AC$2-YEAR(Main!$H$2)+1)</f>
        <v>115120.99921295754</v>
      </c>
      <c r="AD6" s="173">
        <f ca="1">SUM(OFFSET(AD5,0,-MIN(COLUMNS($G$3:AD$3)-1,Main!$C$18-1)):AD5)*INDEX(Main!$C$16:$F$16,AD$2-YEAR(Main!$H$2)+1)</f>
        <v>118588.90011139435</v>
      </c>
      <c r="AE6" s="173">
        <f ca="1">SUM(OFFSET(AE5,0,-MIN(COLUMNS($G$3:AE$3)-1,Main!$C$18-1)):AE5)*INDEX(Main!$C$16:$F$16,AE$2-YEAR(Main!$H$2)+1)</f>
        <v>157405.58109662522</v>
      </c>
      <c r="AF6" s="173">
        <f ca="1">SUM(OFFSET(AF5,0,-MIN(COLUMNS($G$3:AF$3)-1,Main!$C$18-1)):AF5)*INDEX(Main!$C$16:$F$16,AF$2-YEAR(Main!$H$2)+1)</f>
        <v>186260.76431845484</v>
      </c>
      <c r="AG6" s="173">
        <f ca="1">SUM(OFFSET(AG5,0,-MIN(COLUMNS($G$3:AG$3)-1,Main!$C$18-1)):AG5)*INDEX(Main!$C$16:$F$16,AG$2-YEAR(Main!$H$2)+1)</f>
        <v>208011.90861485389</v>
      </c>
      <c r="AH6" s="173">
        <f ca="1">SUM(OFFSET(AH5,0,-MIN(COLUMNS($G$3:AH$3)-1,Main!$C$18-1)):AH5)*INDEX(Main!$C$16:$F$16,AH$2-YEAR(Main!$H$2)+1)</f>
        <v>224715.08575615651</v>
      </c>
      <c r="AI6" s="173">
        <f ca="1">SUM(OFFSET(AI5,0,-MIN(COLUMNS($G$3:AI$3)-1,Main!$C$18-1)):AI5)*INDEX(Main!$C$16:$F$16,AI$2-YEAR(Main!$H$2)+1)</f>
        <v>237851.86040726322</v>
      </c>
      <c r="AJ6" s="173">
        <f ca="1">SUM(OFFSET(AJ5,0,-MIN(COLUMNS($G$3:AJ$3)-1,Main!$C$18-1)):AJ5)*INDEX(Main!$C$16:$F$16,AJ$2-YEAR(Main!$H$2)+1)</f>
        <v>248489.56483510413</v>
      </c>
      <c r="AK6" s="173">
        <f ca="1">SUM(OFFSET(AK5,0,-MIN(COLUMNS($G$3:AK$3)-1,Main!$C$18-1)):AK5)*INDEX(Main!$C$16:$F$16,AK$2-YEAR(Main!$H$2)+1)</f>
        <v>264596.99407055107</v>
      </c>
      <c r="AL6" s="173">
        <f ca="1">SUM(OFFSET(AL5,0,-MIN(COLUMNS($G$3:AL$3)-1,Main!$C$18-1)):AL5)*INDEX(Main!$C$16:$F$16,AL$2-YEAR(Main!$H$2)+1)</f>
        <v>277521.41410550714</v>
      </c>
      <c r="AM6" s="173">
        <f ca="1">SUM(OFFSET(AM5,0,-MIN(COLUMNS($G$3:AM$3)-1,Main!$C$18-1)):AM5)*INDEX(Main!$C$16:$F$16,AM$2-YEAR(Main!$H$2)+1)</f>
        <v>288230.05774571176</v>
      </c>
      <c r="AN6" s="173">
        <f ca="1">SUM(OFFSET(AN5,0,-MIN(COLUMNS($G$3:AN$3)-1,Main!$C$18-1)):AN5)*INDEX(Main!$C$16:$F$16,AN$2-YEAR(Main!$H$2)+1)</f>
        <v>306283.26184293884</v>
      </c>
      <c r="AO6" s="173">
        <f ca="1">SUM(OFFSET(AO5,0,-MIN(COLUMNS($G$3:AO$3)-1,Main!$C$18-1)):AO5)*INDEX(Main!$C$16:$F$16,AO$2-YEAR(Main!$H$2)+1)</f>
        <v>322513.402072987</v>
      </c>
      <c r="AP6" s="173">
        <f ca="1">SUM(OFFSET(AP5,0,-MIN(COLUMNS($G$3:AP$3)-1,Main!$C$18-1)):AP5)*INDEX(Main!$C$16:$F$16,AP$2-YEAR(Main!$H$2)+1)</f>
        <v>337522.46521610074</v>
      </c>
      <c r="AQ6" s="173">
        <f ca="1">SUM(OFFSET(AQ5,0,-MIN(COLUMNS($G$3:AQ$3)-1,Main!$C$18-1)):AQ5)*INDEX(Main!$C$16:$F$16,AQ$2-YEAR(Main!$H$2)+1)</f>
        <v>450376.86566150386</v>
      </c>
      <c r="AR6" s="173">
        <f ca="1">SUM(OFFSET(AR5,0,-MIN(COLUMNS($G$3:AR$3)-1,Main!$C$18-1)):AR5)*INDEX(Main!$C$16:$F$16,AR$2-YEAR(Main!$H$2)+1)</f>
        <v>541839.02030089474</v>
      </c>
      <c r="AS6" s="173">
        <f ca="1">SUM(OFFSET(AS5,0,-MIN(COLUMNS($G$3:AS$3)-1,Main!$C$18-1)):AS5)*INDEX(Main!$C$16:$F$16,AS$2-YEAR(Main!$H$2)+1)</f>
        <v>616810.71890718653</v>
      </c>
      <c r="AT6" s="173">
        <f ca="1">SUM(OFFSET(AT5,0,-MIN(COLUMNS($G$3:AT$3)-1,Main!$C$18-1)):AT5)*INDEX(Main!$C$16:$F$16,AT$2-YEAR(Main!$H$2)+1)</f>
        <v>680786.39430537925</v>
      </c>
      <c r="AU6" s="173">
        <f ca="1">SUM(OFFSET(AU5,0,-MIN(COLUMNS($G$3:AU$3)-1,Main!$C$18-1)):AU5)*INDEX(Main!$C$16:$F$16,AU$2-YEAR(Main!$H$2)+1)</f>
        <v>736468.05630840315</v>
      </c>
      <c r="AV6" s="173">
        <f ca="1">SUM(OFFSET(AV5,0,-MIN(COLUMNS($G$3:AV$3)-1,Main!$C$18-1)):AV5)*INDEX(Main!$C$16:$F$16,AV$2-YEAR(Main!$H$2)+1)</f>
        <v>785893.90424878977</v>
      </c>
      <c r="AW6" s="173">
        <f ca="1">SUM(OFFSET(AW5,0,-MIN(COLUMNS($G$3:AW$3)-1,Main!$C$18-1)):AW5)*INDEX(Main!$C$16:$F$16,AW$2-YEAR(Main!$H$2)+1)</f>
        <v>830659.32103165076</v>
      </c>
      <c r="AX6" s="173">
        <f ca="1">SUM(OFFSET(AX5,0,-MIN(COLUMNS($G$3:AX$3)-1,Main!$C$18-1)):AX5)*INDEX(Main!$C$16:$F$16,AX$2-YEAR(Main!$H$2)+1)</f>
        <v>872154.56452414452</v>
      </c>
      <c r="AY6" s="173">
        <f ca="1">SUM(OFFSET(AY5,0,-MIN(COLUMNS($G$3:AY$3)-1,Main!$C$18-1)):AY5)*INDEX(Main!$C$16:$F$16,AY$2-YEAR(Main!$H$2)+1)</f>
        <v>911319.43409898086</v>
      </c>
      <c r="AZ6" s="173">
        <f ca="1">SUM(OFFSET(AZ5,0,-MIN(COLUMNS($G$3:AZ$3)-1,Main!$C$18-1)):AZ5)*INDEX(Main!$C$16:$F$16,AZ$2-YEAR(Main!$H$2)+1)</f>
        <v>950559.42830527178</v>
      </c>
      <c r="BA6" s="173">
        <f ca="1">SUM(OFFSET(BA5,0,-MIN(COLUMNS($G$3:BA$3)-1,Main!$C$18-1)):BA5)*INDEX(Main!$C$16:$F$16,BA$2-YEAR(Main!$H$2)+1)</f>
        <v>990230.26003875746</v>
      </c>
      <c r="BB6" s="173">
        <f ca="1">SUM(OFFSET(BB5,0,-MIN(COLUMNS($G$3:BB$3)-1,Main!$C$18-1)):BB5)*INDEX(Main!$C$16:$F$16,BB$2-YEAR(Main!$H$2)+1)</f>
        <v>1030465.2115458256</v>
      </c>
    </row>
    <row r="7" spans="1:16384" x14ac:dyDescent="0.15">
      <c r="A7" s="95" t="s">
        <v>190</v>
      </c>
      <c r="C7" s="172">
        <f t="shared" si="3"/>
        <v>1233.3378398231528</v>
      </c>
      <c r="D7" s="171">
        <f t="shared" si="3"/>
        <v>26051.231129804492</v>
      </c>
      <c r="E7" s="171">
        <f t="shared" si="3"/>
        <v>110242.88794172461</v>
      </c>
      <c r="F7" s="171">
        <f t="shared" si="3"/>
        <v>350434.80320569529</v>
      </c>
      <c r="G7" s="171">
        <f>INDEX(Main!$J$16:$M$16,G$2-YEAR(Main!$H$2)+1)*Sales!G31/1000*INDEX(Main!$J$17:$M$17,G$2-YEAR(Main!$H$2)+1)</f>
        <v>4</v>
      </c>
      <c r="H7" s="173">
        <f>INDEX(Main!$J$16:$M$16,H$2-YEAR(Main!$H$2)+1)*Sales!H31/1000*INDEX(Main!$J$17:$M$17,H$2-YEAR(Main!$H$2)+1)</f>
        <v>9.9650335561812131</v>
      </c>
      <c r="I7" s="173">
        <f>INDEX(Main!$J$16:$M$16,I$2-YEAR(Main!$H$2)+1)*Sales!I31/1000*INDEX(Main!$J$17:$M$17,I$2-YEAR(Main!$H$2)+1)</f>
        <v>16.87792310968258</v>
      </c>
      <c r="J7" s="173">
        <f>INDEX(Main!$J$16:$M$16,J$2-YEAR(Main!$H$2)+1)*Sales!J31/1000*INDEX(Main!$J$17:$M$17,J$2-YEAR(Main!$H$2)+1)</f>
        <v>25.563716205467784</v>
      </c>
      <c r="K7" s="173">
        <f>INDEX(Main!$J$16:$M$16,K$2-YEAR(Main!$H$2)+1)*Sales!K31/1000*INDEX(Main!$J$17:$M$17,K$2-YEAR(Main!$H$2)+1)</f>
        <v>35.090248143843304</v>
      </c>
      <c r="L7" s="173">
        <f>INDEX(Main!$J$16:$M$16,L$2-YEAR(Main!$H$2)+1)*Sales!L31/1000*INDEX(Main!$J$17:$M$17,L$2-YEAR(Main!$H$2)+1)</f>
        <v>44.991836179599396</v>
      </c>
      <c r="M7" s="173">
        <f>INDEX(Main!$J$16:$M$16,M$2-YEAR(Main!$H$2)+1)*Sales!M31/1000*INDEX(Main!$J$17:$M$17,M$2-YEAR(Main!$H$2)+1)</f>
        <v>67.036035051579887</v>
      </c>
      <c r="N7" s="173">
        <f>INDEX(Main!$J$16:$M$16,N$2-YEAR(Main!$H$2)+1)*Sales!N31/1000*INDEX(Main!$J$17:$M$17,N$2-YEAR(Main!$H$2)+1)</f>
        <v>101.66878211321355</v>
      </c>
      <c r="O7" s="173">
        <f>INDEX(Main!$J$16:$M$16,O$2-YEAR(Main!$H$2)+1)*Sales!O31/1000*INDEX(Main!$J$17:$M$17,O$2-YEAR(Main!$H$2)+1)</f>
        <v>149.05607484040868</v>
      </c>
      <c r="P7" s="173">
        <f>INDEX(Main!$J$16:$M$16,P$2-YEAR(Main!$H$2)+1)*Sales!P31/1000*INDEX(Main!$J$17:$M$17,P$2-YEAR(Main!$H$2)+1)</f>
        <v>202.55777212371967</v>
      </c>
      <c r="Q7" s="173">
        <f>INDEX(Main!$J$16:$M$16,Q$2-YEAR(Main!$H$2)+1)*Sales!Q31/1000*INDEX(Main!$J$17:$M$17,Q$2-YEAR(Main!$H$2)+1)</f>
        <v>259.16229071062531</v>
      </c>
      <c r="R7" s="173">
        <f>INDEX(Main!$J$16:$M$16,R$2-YEAR(Main!$H$2)+1)*Sales!R31/1000*INDEX(Main!$J$17:$M$17,R$2-YEAR(Main!$H$2)+1)</f>
        <v>317.36812778883126</v>
      </c>
      <c r="S7" s="173">
        <f>INDEX(Main!$J$16:$M$16,S$2-YEAR(Main!$H$2)+1)*Sales!S31/1000*INDEX(Main!$J$17:$M$17,S$2-YEAR(Main!$H$2)+1)</f>
        <v>467.46426831928886</v>
      </c>
      <c r="T7" s="173">
        <f>INDEX(Main!$J$16:$M$16,T$2-YEAR(Main!$H$2)+1)*Sales!T31/1000*INDEX(Main!$J$17:$M$17,T$2-YEAR(Main!$H$2)+1)</f>
        <v>684.21887876119058</v>
      </c>
      <c r="U7" s="173">
        <f>INDEX(Main!$J$16:$M$16,U$2-YEAR(Main!$H$2)+1)*Sales!U31/1000*INDEX(Main!$J$17:$M$17,U$2-YEAR(Main!$H$2)+1)</f>
        <v>950.93131049828617</v>
      </c>
      <c r="V7" s="173">
        <f>INDEX(Main!$J$16:$M$16,V$2-YEAR(Main!$H$2)+1)*Sales!V31/1000*INDEX(Main!$J$17:$M$17,V$2-YEAR(Main!$H$2)+1)</f>
        <v>1249.8653218463128</v>
      </c>
      <c r="W7" s="173">
        <f>INDEX(Main!$J$16:$M$16,W$2-YEAR(Main!$H$2)+1)*Sales!W31/1000*INDEX(Main!$J$17:$M$17,W$2-YEAR(Main!$H$2)+1)</f>
        <v>1569.6328015805816</v>
      </c>
      <c r="X7" s="173">
        <f>INDEX(Main!$J$16:$M$16,X$2-YEAR(Main!$H$2)+1)*Sales!X31/1000*INDEX(Main!$J$17:$M$17,X$2-YEAR(Main!$H$2)+1)</f>
        <v>1902.7312020398933</v>
      </c>
      <c r="Y7" s="173">
        <f>INDEX(Main!$J$16:$M$16,Y$2-YEAR(Main!$H$2)+1)*Sales!Y31/1000*INDEX(Main!$J$17:$M$17,Y$2-YEAR(Main!$H$2)+1)</f>
        <v>2250.8891456243355</v>
      </c>
      <c r="Z7" s="173">
        <f>INDEX(Main!$J$16:$M$16,Z$2-YEAR(Main!$H$2)+1)*Sales!Z31/1000*INDEX(Main!$J$17:$M$17,Z$2-YEAR(Main!$H$2)+1)</f>
        <v>2615.2029163714869</v>
      </c>
      <c r="AA7" s="173">
        <f>INDEX(Main!$J$16:$M$16,AA$2-YEAR(Main!$H$2)+1)*Sales!AA31/1000*INDEX(Main!$J$17:$M$17,AA$2-YEAR(Main!$H$2)+1)</f>
        <v>2996.3519999530472</v>
      </c>
      <c r="AB7" s="173">
        <f>INDEX(Main!$J$16:$M$16,AB$2-YEAR(Main!$H$2)+1)*Sales!AB31/1000*INDEX(Main!$J$17:$M$17,AB$2-YEAR(Main!$H$2)+1)</f>
        <v>3388.0746710154222</v>
      </c>
      <c r="AC7" s="173">
        <f>INDEX(Main!$J$16:$M$16,AC$2-YEAR(Main!$H$2)+1)*Sales!AC31/1000*INDEX(Main!$J$17:$M$17,AC$2-YEAR(Main!$H$2)+1)</f>
        <v>3786.5596786409174</v>
      </c>
      <c r="AD7" s="173">
        <f>INDEX(Main!$J$16:$M$16,AD$2-YEAR(Main!$H$2)+1)*Sales!AD31/1000*INDEX(Main!$J$17:$M$17,AD$2-YEAR(Main!$H$2)+1)</f>
        <v>4189.3089351537283</v>
      </c>
      <c r="AE7" s="173">
        <f>INDEX(Main!$J$16:$M$16,AE$2-YEAR(Main!$H$2)+1)*Sales!AE31/1000*INDEX(Main!$J$17:$M$17,AE$2-YEAR(Main!$H$2)+1)</f>
        <v>4737.0821188375039</v>
      </c>
      <c r="AF7" s="173">
        <f>INDEX(Main!$J$16:$M$16,AF$2-YEAR(Main!$H$2)+1)*Sales!AF31/1000*INDEX(Main!$J$17:$M$17,AF$2-YEAR(Main!$H$2)+1)</f>
        <v>5388.075084354934</v>
      </c>
      <c r="AG7" s="173">
        <f>INDEX(Main!$J$16:$M$16,AG$2-YEAR(Main!$H$2)+1)*Sales!AG31/1000*INDEX(Main!$J$17:$M$17,AG$2-YEAR(Main!$H$2)+1)</f>
        <v>6112.2154827955646</v>
      </c>
      <c r="AH7" s="173">
        <f>INDEX(Main!$J$16:$M$16,AH$2-YEAR(Main!$H$2)+1)*Sales!AH31/1000*INDEX(Main!$J$17:$M$17,AH$2-YEAR(Main!$H$2)+1)</f>
        <v>6887.8778733625304</v>
      </c>
      <c r="AI7" s="173">
        <f>INDEX(Main!$J$16:$M$16,AI$2-YEAR(Main!$H$2)+1)*Sales!AI31/1000*INDEX(Main!$J$17:$M$17,AI$2-YEAR(Main!$H$2)+1)</f>
        <v>7699.5186074481244</v>
      </c>
      <c r="AJ7" s="173">
        <f>INDEX(Main!$J$16:$M$16,AJ$2-YEAR(Main!$H$2)+1)*Sales!AJ31/1000*INDEX(Main!$J$17:$M$17,AJ$2-YEAR(Main!$H$2)+1)</f>
        <v>8535.972948855313</v>
      </c>
      <c r="AK7" s="173">
        <f>INDEX(Main!$J$16:$M$16,AK$2-YEAR(Main!$H$2)+1)*Sales!AK31/1000*INDEX(Main!$J$17:$M$17,AK$2-YEAR(Main!$H$2)+1)</f>
        <v>9418.0290040710079</v>
      </c>
      <c r="AL7" s="173">
        <f>INDEX(Main!$J$16:$M$16,AL$2-YEAR(Main!$H$2)+1)*Sales!AL31/1000*INDEX(Main!$J$17:$M$17,AL$2-YEAR(Main!$H$2)+1)</f>
        <v>10331.629197408462</v>
      </c>
      <c r="AM7" s="173">
        <f>INDEX(Main!$J$16:$M$16,AM$2-YEAR(Main!$H$2)+1)*Sales!AM31/1000*INDEX(Main!$J$17:$M$17,AM$2-YEAR(Main!$H$2)+1)</f>
        <v>11266.681054443865</v>
      </c>
      <c r="AN7" s="173">
        <f>INDEX(Main!$J$16:$M$16,AN$2-YEAR(Main!$H$2)+1)*Sales!AN31/1000*INDEX(Main!$J$17:$M$17,AN$2-YEAR(Main!$H$2)+1)</f>
        <v>12251.413658147456</v>
      </c>
      <c r="AO7" s="173">
        <f>INDEX(Main!$J$16:$M$16,AO$2-YEAR(Main!$H$2)+1)*Sales!AO31/1000*INDEX(Main!$J$17:$M$17,AO$2-YEAR(Main!$H$2)+1)</f>
        <v>13277.070932158158</v>
      </c>
      <c r="AP7" s="173">
        <f>INDEX(Main!$J$16:$M$16,AP$2-YEAR(Main!$H$2)+1)*Sales!AP31/1000*INDEX(Main!$J$17:$M$17,AP$2-YEAR(Main!$H$2)+1)</f>
        <v>14337.321979841699</v>
      </c>
      <c r="AQ7" s="173">
        <f>INDEX(Main!$J$16:$M$16,AQ$2-YEAR(Main!$H$2)+1)*Sales!AQ31/1000*INDEX(Main!$J$17:$M$17,AQ$2-YEAR(Main!$H$2)+1)</f>
        <v>15822.104248931109</v>
      </c>
      <c r="AR7" s="173">
        <f>INDEX(Main!$J$16:$M$16,AR$2-YEAR(Main!$H$2)+1)*Sales!AR31/1000*INDEX(Main!$J$17:$M$17,AR$2-YEAR(Main!$H$2)+1)</f>
        <v>17640.510917542309</v>
      </c>
      <c r="AS7" s="173">
        <f>INDEX(Main!$J$16:$M$16,AS$2-YEAR(Main!$H$2)+1)*Sales!AS31/1000*INDEX(Main!$J$17:$M$17,AS$2-YEAR(Main!$H$2)+1)</f>
        <v>19721.636986936075</v>
      </c>
      <c r="AT7" s="173">
        <f>INDEX(Main!$J$16:$M$16,AT$2-YEAR(Main!$H$2)+1)*Sales!AT31/1000*INDEX(Main!$J$17:$M$17,AT$2-YEAR(Main!$H$2)+1)</f>
        <v>22016.845895587161</v>
      </c>
      <c r="AU7" s="173">
        <f>INDEX(Main!$J$16:$M$16,AU$2-YEAR(Main!$H$2)+1)*Sales!AU31/1000*INDEX(Main!$J$17:$M$17,AU$2-YEAR(Main!$H$2)+1)</f>
        <v>24488.452059428128</v>
      </c>
      <c r="AV7" s="173">
        <f>INDEX(Main!$J$16:$M$16,AV$2-YEAR(Main!$H$2)+1)*Sales!AV31/1000*INDEX(Main!$J$17:$M$17,AV$2-YEAR(Main!$H$2)+1)</f>
        <v>27107.008341603429</v>
      </c>
      <c r="AW7" s="173">
        <f>INDEX(Main!$J$16:$M$16,AW$2-YEAR(Main!$H$2)+1)*Sales!AW31/1000*INDEX(Main!$J$17:$M$17,AW$2-YEAR(Main!$H$2)+1)</f>
        <v>29849.494509738233</v>
      </c>
      <c r="AX7" s="173">
        <f>INDEX(Main!$J$16:$M$16,AX$2-YEAR(Main!$H$2)+1)*Sales!AX31/1000*INDEX(Main!$J$17:$M$17,AX$2-YEAR(Main!$H$2)+1)</f>
        <v>32698.516610431863</v>
      </c>
      <c r="AY7" s="173">
        <f>INDEX(Main!$J$16:$M$16,AY$2-YEAR(Main!$H$2)+1)*Sales!AY31/1000*INDEX(Main!$J$17:$M$17,AY$2-YEAR(Main!$H$2)+1)</f>
        <v>35640.461744860528</v>
      </c>
      <c r="AZ7" s="173">
        <f>INDEX(Main!$J$16:$M$16,AZ$2-YEAR(Main!$H$2)+1)*Sales!AZ31/1000*INDEX(Main!$J$17:$M$17,AZ$2-YEAR(Main!$H$2)+1)</f>
        <v>38671.333924822706</v>
      </c>
      <c r="BA7" s="173">
        <f>INDEX(Main!$J$16:$M$16,BA$2-YEAR(Main!$H$2)+1)*Sales!BA31/1000*INDEX(Main!$J$17:$M$17,BA$2-YEAR(Main!$H$2)+1)</f>
        <v>41788.52680913853</v>
      </c>
      <c r="BB7" s="173">
        <f>INDEX(Main!$J$16:$M$16,BB$2-YEAR(Main!$H$2)+1)*Sales!BB31/1000*INDEX(Main!$J$17:$M$17,BB$2-YEAR(Main!$H$2)+1)</f>
        <v>44989.911156675211</v>
      </c>
    </row>
    <row r="8" spans="1:16384" x14ac:dyDescent="0.15">
      <c r="A8" s="95" t="s">
        <v>53</v>
      </c>
      <c r="C8" s="82">
        <f t="shared" si="3"/>
        <v>0</v>
      </c>
      <c r="D8" s="80">
        <f t="shared" si="3"/>
        <v>0</v>
      </c>
      <c r="E8" s="80">
        <f t="shared" si="3"/>
        <v>0</v>
      </c>
      <c r="F8" s="80">
        <f t="shared" si="3"/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0</v>
      </c>
      <c r="S8" s="295">
        <v>0</v>
      </c>
      <c r="T8" s="295">
        <v>0</v>
      </c>
      <c r="U8" s="295">
        <v>0</v>
      </c>
      <c r="V8" s="295">
        <v>0</v>
      </c>
      <c r="W8" s="295">
        <v>0</v>
      </c>
      <c r="X8" s="295">
        <v>0</v>
      </c>
      <c r="Y8" s="295">
        <v>0</v>
      </c>
      <c r="Z8" s="295">
        <v>0</v>
      </c>
      <c r="AA8" s="295">
        <v>0</v>
      </c>
      <c r="AB8" s="295">
        <v>0</v>
      </c>
      <c r="AC8" s="295">
        <v>0</v>
      </c>
      <c r="AD8" s="295">
        <v>0</v>
      </c>
      <c r="AE8" s="295">
        <v>0</v>
      </c>
      <c r="AF8" s="295">
        <v>0</v>
      </c>
      <c r="AG8" s="295">
        <v>0</v>
      </c>
      <c r="AH8" s="295">
        <v>0</v>
      </c>
      <c r="AI8" s="295">
        <v>0</v>
      </c>
      <c r="AJ8" s="295">
        <v>0</v>
      </c>
      <c r="AK8" s="295">
        <v>0</v>
      </c>
      <c r="AL8" s="295">
        <v>0</v>
      </c>
      <c r="AM8" s="295">
        <v>0</v>
      </c>
      <c r="AN8" s="295">
        <v>0</v>
      </c>
      <c r="AO8" s="295">
        <v>0</v>
      </c>
      <c r="AP8" s="295">
        <v>0</v>
      </c>
      <c r="AQ8" s="295">
        <v>0</v>
      </c>
      <c r="AR8" s="295">
        <v>0</v>
      </c>
      <c r="AS8" s="295">
        <v>0</v>
      </c>
      <c r="AT8" s="295">
        <v>0</v>
      </c>
      <c r="AU8" s="295">
        <v>0</v>
      </c>
      <c r="AV8" s="295">
        <v>0</v>
      </c>
      <c r="AW8" s="295">
        <v>0</v>
      </c>
      <c r="AX8" s="295">
        <v>0</v>
      </c>
      <c r="AY8" s="295">
        <v>0</v>
      </c>
      <c r="AZ8" s="295">
        <v>0</v>
      </c>
      <c r="BA8" s="295">
        <v>0</v>
      </c>
      <c r="BB8" s="295">
        <v>0</v>
      </c>
    </row>
    <row r="9" spans="1:16384" s="67" customFormat="1" x14ac:dyDescent="0.15">
      <c r="A9" s="59" t="s">
        <v>21</v>
      </c>
      <c r="B9" s="59"/>
      <c r="C9" s="172">
        <f t="shared" ca="1" si="3"/>
        <v>84363.902021270784</v>
      </c>
      <c r="D9" s="171">
        <f t="shared" ca="1" si="3"/>
        <v>1088576.3630184471</v>
      </c>
      <c r="E9" s="171">
        <f t="shared" ca="1" si="3"/>
        <v>3169645.2480239789</v>
      </c>
      <c r="F9" s="171">
        <f t="shared" ca="1" si="3"/>
        <v>9747997.9824824855</v>
      </c>
      <c r="G9" s="236">
        <f ca="1">SUM(G6:G8)</f>
        <v>1004</v>
      </c>
      <c r="H9" s="236">
        <f t="shared" ref="H9:BB9" ca="1" si="4">SUM(H6:H8)</f>
        <v>1530.7983668895142</v>
      </c>
      <c r="I9" s="236">
        <f t="shared" ca="1" si="4"/>
        <v>1803.2451979955711</v>
      </c>
      <c r="J9" s="236">
        <f t="shared" ca="1" si="4"/>
        <v>2287.4438493059261</v>
      </c>
      <c r="K9" s="236">
        <f t="shared" ca="1" si="4"/>
        <v>2546.03643677839</v>
      </c>
      <c r="L9" s="236">
        <f t="shared" ca="1" si="4"/>
        <v>2692.3844622370734</v>
      </c>
      <c r="M9" s="236">
        <f t="shared" ca="1" si="4"/>
        <v>5794.8908590053779</v>
      </c>
      <c r="N9" s="236">
        <f t="shared" ca="1" si="4"/>
        <v>9057.7884192012734</v>
      </c>
      <c r="O9" s="236">
        <f t="shared" ca="1" si="4"/>
        <v>12416.760224814088</v>
      </c>
      <c r="P9" s="236">
        <f t="shared" ca="1" si="4"/>
        <v>14166.605601521856</v>
      </c>
      <c r="Q9" s="236">
        <f t="shared" ca="1" si="4"/>
        <v>15195.04944598204</v>
      </c>
      <c r="R9" s="236">
        <f t="shared" ca="1" si="4"/>
        <v>15868.899157539665</v>
      </c>
      <c r="S9" s="236">
        <f t="shared" ca="1" si="4"/>
        <v>39220.379458438991</v>
      </c>
      <c r="T9" s="236">
        <f t="shared" ca="1" si="4"/>
        <v>56630.928429779618</v>
      </c>
      <c r="U9" s="236">
        <f t="shared" ca="1" si="4"/>
        <v>70153.437202687637</v>
      </c>
      <c r="V9" s="236">
        <f t="shared" ca="1" si="4"/>
        <v>79496.045311579204</v>
      </c>
      <c r="W9" s="236">
        <f t="shared" ca="1" si="4"/>
        <v>86208.852000182829</v>
      </c>
      <c r="X9" s="236">
        <f t="shared" ca="1" si="4"/>
        <v>91239.535402226786</v>
      </c>
      <c r="Y9" s="236">
        <f t="shared" ca="1" si="4"/>
        <v>96886.843772360167</v>
      </c>
      <c r="Z9" s="236">
        <f t="shared" ca="1" si="4"/>
        <v>102998.83256976034</v>
      </c>
      <c r="AA9" s="236">
        <f t="shared" ca="1" si="4"/>
        <v>109475.92580893222</v>
      </c>
      <c r="AB9" s="236">
        <f t="shared" ca="1" si="4"/>
        <v>114579.81512435286</v>
      </c>
      <c r="AC9" s="236">
        <f t="shared" ca="1" si="4"/>
        <v>118907.55889159846</v>
      </c>
      <c r="AD9" s="236">
        <f t="shared" ca="1" si="4"/>
        <v>122778.20904654809</v>
      </c>
      <c r="AE9" s="236">
        <f t="shared" ca="1" si="4"/>
        <v>162142.66321546273</v>
      </c>
      <c r="AF9" s="236">
        <f t="shared" ca="1" si="4"/>
        <v>191648.83940280977</v>
      </c>
      <c r="AG9" s="236">
        <f t="shared" ca="1" si="4"/>
        <v>214124.12409764944</v>
      </c>
      <c r="AH9" s="236">
        <f t="shared" ca="1" si="4"/>
        <v>231602.96362951904</v>
      </c>
      <c r="AI9" s="236">
        <f t="shared" ca="1" si="4"/>
        <v>245551.37901471133</v>
      </c>
      <c r="AJ9" s="236">
        <f t="shared" ca="1" si="4"/>
        <v>257025.53778395944</v>
      </c>
      <c r="AK9" s="236">
        <f t="shared" ca="1" si="4"/>
        <v>274015.02307462209</v>
      </c>
      <c r="AL9" s="236">
        <f t="shared" ca="1" si="4"/>
        <v>287853.04330291558</v>
      </c>
      <c r="AM9" s="236">
        <f t="shared" ca="1" si="4"/>
        <v>299496.73880015564</v>
      </c>
      <c r="AN9" s="236">
        <f t="shared" ca="1" si="4"/>
        <v>318534.67550108628</v>
      </c>
      <c r="AO9" s="236">
        <f t="shared" ca="1" si="4"/>
        <v>335790.47300514515</v>
      </c>
      <c r="AP9" s="236">
        <f t="shared" ca="1" si="4"/>
        <v>351859.78719594242</v>
      </c>
      <c r="AQ9" s="236">
        <f t="shared" ca="1" si="4"/>
        <v>466198.96991043497</v>
      </c>
      <c r="AR9" s="236">
        <f t="shared" ca="1" si="4"/>
        <v>559479.53121843701</v>
      </c>
      <c r="AS9" s="236">
        <f t="shared" ca="1" si="4"/>
        <v>636532.35589412262</v>
      </c>
      <c r="AT9" s="236">
        <f t="shared" ca="1" si="4"/>
        <v>702803.24020096636</v>
      </c>
      <c r="AU9" s="236">
        <f t="shared" ca="1" si="4"/>
        <v>760956.50836783124</v>
      </c>
      <c r="AV9" s="236">
        <f t="shared" ca="1" si="4"/>
        <v>813000.91259039321</v>
      </c>
      <c r="AW9" s="236">
        <f t="shared" ca="1" si="4"/>
        <v>860508.81554138905</v>
      </c>
      <c r="AX9" s="236">
        <f t="shared" ca="1" si="4"/>
        <v>904853.08113457635</v>
      </c>
      <c r="AY9" s="236">
        <f t="shared" ca="1" si="4"/>
        <v>946959.89584384137</v>
      </c>
      <c r="AZ9" s="236">
        <f t="shared" ca="1" si="4"/>
        <v>989230.76223009452</v>
      </c>
      <c r="BA9" s="236">
        <f t="shared" ca="1" si="4"/>
        <v>1032018.7868478959</v>
      </c>
      <c r="BB9" s="236">
        <f t="shared" ca="1" si="4"/>
        <v>1075455.1227025008</v>
      </c>
    </row>
    <row r="10" spans="1:16384" x14ac:dyDescent="0.15">
      <c r="G10" s="7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16384" s="204" customFormat="1" ht="16" x14ac:dyDescent="0.2">
      <c r="A11" s="204" t="s">
        <v>178</v>
      </c>
      <c r="C11" s="211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</row>
    <row r="12" spans="1:16384" x14ac:dyDescent="0.15">
      <c r="A12" s="47" t="s">
        <v>57</v>
      </c>
      <c r="C12" s="82">
        <f t="shared" ref="C12:F17" ca="1" si="5">SUMIFS($G12:$BB12,$G$2:$BB$2,C$3)</f>
        <v>48000</v>
      </c>
      <c r="D12" s="80">
        <f t="shared" ca="1" si="5"/>
        <v>99811.769513402018</v>
      </c>
      <c r="E12" s="80">
        <f t="shared" ca="1" si="5"/>
        <v>233079.08260287892</v>
      </c>
      <c r="F12" s="80">
        <f t="shared" ca="1" si="5"/>
        <v>454914.71127468755</v>
      </c>
      <c r="G12" s="77">
        <f>IF(Sales!G42&lt;10000,Main!$J$61,Main!$K$61+Main!$L$61*(Sales!G42-10000)/10000)</f>
        <v>4000</v>
      </c>
      <c r="H12" s="80">
        <f ca="1">IF(Sales!H42&lt;10000,Main!$J$61,Main!$K$61+Main!$L$61*(Sales!H42-10000)/10000)</f>
        <v>4000</v>
      </c>
      <c r="I12" s="80">
        <f ca="1">IF(Sales!I42&lt;10000,Main!$J$61,Main!$K$61+Main!$L$61*(Sales!I42-10000)/10000)</f>
        <v>4000</v>
      </c>
      <c r="J12" s="80">
        <f ca="1">IF(Sales!J42&lt;10000,Main!$J$61,Main!$K$61+Main!$L$61*(Sales!J42-10000)/10000)</f>
        <v>4000</v>
      </c>
      <c r="K12" s="80">
        <f ca="1">IF(Sales!K42&lt;10000,Main!$J$61,Main!$K$61+Main!$L$61*(Sales!K42-10000)/10000)</f>
        <v>4000</v>
      </c>
      <c r="L12" s="80">
        <f ca="1">IF(Sales!L42&lt;10000,Main!$J$61,Main!$K$61+Main!$L$61*(Sales!L42-10000)/10000)</f>
        <v>4000</v>
      </c>
      <c r="M12" s="80">
        <f ca="1">IF(Sales!M42&lt;10000,Main!$J$61,Main!$K$61+Main!$L$61*(Sales!M42-10000)/10000)</f>
        <v>4000</v>
      </c>
      <c r="N12" s="80">
        <f ca="1">IF(Sales!N42&lt;10000,Main!$J$61,Main!$K$61+Main!$L$61*(Sales!N42-10000)/10000)</f>
        <v>4000</v>
      </c>
      <c r="O12" s="80">
        <f ca="1">IF(Sales!O42&lt;10000,Main!$J$61,Main!$K$61+Main!$L$61*(Sales!O42-10000)/10000)</f>
        <v>4000</v>
      </c>
      <c r="P12" s="80">
        <f ca="1">IF(Sales!P42&lt;10000,Main!$J$61,Main!$K$61+Main!$L$61*(Sales!P42-10000)/10000)</f>
        <v>4000</v>
      </c>
      <c r="Q12" s="80">
        <f ca="1">IF(Sales!Q42&lt;10000,Main!$J$61,Main!$K$61+Main!$L$61*(Sales!Q42-10000)/10000)</f>
        <v>4000</v>
      </c>
      <c r="R12" s="80">
        <f ca="1">IF(Sales!R42&lt;10000,Main!$J$61,Main!$K$61+Main!$L$61*(Sales!R42-10000)/10000)</f>
        <v>4000</v>
      </c>
      <c r="S12" s="80">
        <f ca="1">IF(Sales!S42&lt;10000,Main!$J$61,Main!$K$61+Main!$L$61*(Sales!S42-10000)/10000)</f>
        <v>4000</v>
      </c>
      <c r="T12" s="80">
        <f ca="1">IF(Sales!T42&lt;10000,Main!$J$61,Main!$K$61+Main!$L$61*(Sales!T42-10000)/10000)</f>
        <v>4000</v>
      </c>
      <c r="U12" s="80">
        <f ca="1">IF(Sales!U42&lt;10000,Main!$J$61,Main!$K$61+Main!$L$61*(Sales!U42-10000)/10000)</f>
        <v>4000</v>
      </c>
      <c r="V12" s="80">
        <f ca="1">IF(Sales!V42&lt;10000,Main!$J$61,Main!$K$61+Main!$L$61*(Sales!V42-10000)/10000)</f>
        <v>4000</v>
      </c>
      <c r="W12" s="80">
        <f ca="1">IF(Sales!W42&lt;10000,Main!$J$61,Main!$K$61+Main!$L$61*(Sales!W42-10000)/10000)</f>
        <v>4000</v>
      </c>
      <c r="X12" s="80">
        <f ca="1">IF(Sales!X42&lt;10000,Main!$J$61,Main!$K$61+Main!$L$61*(Sales!X42-10000)/10000)</f>
        <v>4000</v>
      </c>
      <c r="Y12" s="80">
        <f ca="1">IF(Sales!Y42&lt;10000,Main!$J$61,Main!$K$61+Main!$L$61*(Sales!Y42-10000)/10000)</f>
        <v>4000</v>
      </c>
      <c r="Z12" s="80">
        <f ca="1">IF(Sales!Z42&lt;10000,Main!$J$61,Main!$K$61+Main!$L$61*(Sales!Z42-10000)/10000)</f>
        <v>14013.427037868611</v>
      </c>
      <c r="AA12" s="80">
        <f ca="1">IF(Sales!AA42&lt;10000,Main!$J$61,Main!$K$61+Main!$L$61*(Sales!AA42-10000)/10000)</f>
        <v>14226.785083314271</v>
      </c>
      <c r="AB12" s="80">
        <f ca="1">IF(Sales!AB42&lt;10000,Main!$J$61,Main!$K$61+Main!$L$61*(Sales!AB42-10000)/10000)</f>
        <v>14391.71091586681</v>
      </c>
      <c r="AC12" s="80">
        <f ca="1">IF(Sales!AC42&lt;10000,Main!$J$61,Main!$K$61+Main!$L$61*(Sales!AC42-10000)/10000)</f>
        <v>14529.234972453514</v>
      </c>
      <c r="AD12" s="80">
        <f ca="1">IF(Sales!AD42&lt;10000,Main!$J$61,Main!$K$61+Main!$L$61*(Sales!AD42-10000)/10000)</f>
        <v>14650.611503898803</v>
      </c>
      <c r="AE12" s="80">
        <f ca="1">IF(Sales!AE42&lt;10000,Main!$J$61,Main!$K$61+Main!$L$61*(Sales!AE42-10000)/10000)</f>
        <v>16009.195338381884</v>
      </c>
      <c r="AF12" s="80">
        <f ca="1">IF(Sales!AF42&lt;10000,Main!$J$61,Main!$K$61+Main!$L$61*(Sales!AF42-10000)/10000)</f>
        <v>17019.126751145919</v>
      </c>
      <c r="AG12" s="80">
        <f ca="1">IF(Sales!AG42&lt;10000,Main!$J$61,Main!$K$61+Main!$L$61*(Sales!AG42-10000)/10000)</f>
        <v>17780.416801519888</v>
      </c>
      <c r="AH12" s="80">
        <f ca="1">IF(Sales!AH42&lt;10000,Main!$J$61,Main!$K$61+Main!$L$61*(Sales!AH42-10000)/10000)</f>
        <v>18365.028001465478</v>
      </c>
      <c r="AI12" s="80">
        <f ca="1">IF(Sales!AI42&lt;10000,Main!$J$61,Main!$K$61+Main!$L$61*(Sales!AI42-10000)/10000)</f>
        <v>18824.815114254212</v>
      </c>
      <c r="AJ12" s="80">
        <f ca="1">IF(Sales!AJ42&lt;10000,Main!$J$61,Main!$K$61+Main!$L$61*(Sales!AJ42-10000)/10000)</f>
        <v>19197.134769228644</v>
      </c>
      <c r="AK12" s="80">
        <f ca="1">IF(Sales!AK42&lt;10000,Main!$J$61,Main!$K$61+Main!$L$61*(Sales!AK42-10000)/10000)</f>
        <v>19760.894792469287</v>
      </c>
      <c r="AL12" s="80">
        <f ca="1">IF(Sales!AL42&lt;10000,Main!$J$61,Main!$K$61+Main!$L$61*(Sales!AL42-10000)/10000)</f>
        <v>20213.249493692751</v>
      </c>
      <c r="AM12" s="80">
        <f ca="1">IF(Sales!AM42&lt;10000,Main!$J$61,Main!$K$61+Main!$L$61*(Sales!AM42-10000)/10000)</f>
        <v>20588.052021099909</v>
      </c>
      <c r="AN12" s="80">
        <f ca="1">IF(Sales!AN42&lt;10000,Main!$J$61,Main!$K$61+Main!$L$61*(Sales!AN42-10000)/10000)</f>
        <v>21219.914164502858</v>
      </c>
      <c r="AO12" s="80">
        <f ca="1">IF(Sales!AO42&lt;10000,Main!$J$61,Main!$K$61+Main!$L$61*(Sales!AO42-10000)/10000)</f>
        <v>21787.969072554544</v>
      </c>
      <c r="AP12" s="80">
        <f ca="1">IF(Sales!AP42&lt;10000,Main!$J$61,Main!$K$61+Main!$L$61*(Sales!AP42-10000)/10000)</f>
        <v>22313.286282563527</v>
      </c>
      <c r="AQ12" s="80">
        <f ca="1">IF(Sales!AQ42&lt;10000,Main!$J$61,Main!$K$61+Main!$L$61*(Sales!AQ42-10000)/10000)</f>
        <v>26263.190298152636</v>
      </c>
      <c r="AR12" s="80">
        <f ca="1">IF(Sales!AR42&lt;10000,Main!$J$61,Main!$K$61+Main!$L$61*(Sales!AR42-10000)/10000)</f>
        <v>29464.365710531318</v>
      </c>
      <c r="AS12" s="80">
        <f ca="1">IF(Sales!AS42&lt;10000,Main!$J$61,Main!$K$61+Main!$L$61*(Sales!AS42-10000)/10000)</f>
        <v>32088.37516175153</v>
      </c>
      <c r="AT12" s="80">
        <f ca="1">IF(Sales!AT42&lt;10000,Main!$J$61,Main!$K$61+Main!$L$61*(Sales!AT42-10000)/10000)</f>
        <v>34327.523800688272</v>
      </c>
      <c r="AU12" s="80">
        <f ca="1">IF(Sales!AU42&lt;10000,Main!$J$61,Main!$K$61+Main!$L$61*(Sales!AU42-10000)/10000)</f>
        <v>36276.381970794115</v>
      </c>
      <c r="AV12" s="80">
        <f ca="1">IF(Sales!AV42&lt;10000,Main!$J$61,Main!$K$61+Main!$L$61*(Sales!AV42-10000)/10000)</f>
        <v>38006.286648707639</v>
      </c>
      <c r="AW12" s="80">
        <f ca="1">IF(Sales!AW42&lt;10000,Main!$J$61,Main!$K$61+Main!$L$61*(Sales!AW42-10000)/10000)</f>
        <v>39573.07623610778</v>
      </c>
      <c r="AX12" s="80">
        <f ca="1">IF(Sales!AX42&lt;10000,Main!$J$61,Main!$K$61+Main!$L$61*(Sales!AX42-10000)/10000)</f>
        <v>41025.409758345057</v>
      </c>
      <c r="AY12" s="80">
        <f ca="1">IF(Sales!AY42&lt;10000,Main!$J$61,Main!$K$61+Main!$L$61*(Sales!AY42-10000)/10000)</f>
        <v>42396.18019346433</v>
      </c>
      <c r="AZ12" s="80">
        <f ca="1">IF(Sales!AZ42&lt;10000,Main!$J$61,Main!$K$61+Main!$L$61*(Sales!AZ42-10000)/10000)</f>
        <v>43769.579990684506</v>
      </c>
      <c r="BA12" s="80">
        <f ca="1">IF(Sales!BA42&lt;10000,Main!$J$61,Main!$K$61+Main!$L$61*(Sales!BA42-10000)/10000)</f>
        <v>45158.059101356506</v>
      </c>
      <c r="BB12" s="80">
        <f ca="1">IF(Sales!BB42&lt;10000,Main!$J$61,Main!$K$61+Main!$L$61*(Sales!BB42-10000)/10000)</f>
        <v>46566.282404103898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16384" x14ac:dyDescent="0.15">
      <c r="A13" s="47" t="s">
        <v>61</v>
      </c>
      <c r="C13" s="82">
        <f t="shared" ca="1" si="5"/>
        <v>0</v>
      </c>
      <c r="D13" s="80">
        <f t="shared" ca="1" si="5"/>
        <v>18884.25</v>
      </c>
      <c r="E13" s="80">
        <f t="shared" ca="1" si="5"/>
        <v>79313.85000000002</v>
      </c>
      <c r="F13" s="80">
        <f t="shared" ca="1" si="5"/>
        <v>256778.58937500001</v>
      </c>
      <c r="G13" s="77">
        <f>+'Staff Expense'!G16</f>
        <v>0</v>
      </c>
      <c r="H13" s="80">
        <f ca="1">+'Staff Expense'!H16</f>
        <v>0</v>
      </c>
      <c r="I13" s="80">
        <f ca="1">+'Staff Expense'!I16</f>
        <v>0</v>
      </c>
      <c r="J13" s="80">
        <f ca="1">+'Staff Expense'!J16</f>
        <v>0</v>
      </c>
      <c r="K13" s="80">
        <f ca="1">+'Staff Expense'!K16</f>
        <v>0</v>
      </c>
      <c r="L13" s="80">
        <f ca="1">+'Staff Expense'!L16</f>
        <v>0</v>
      </c>
      <c r="M13" s="80">
        <f ca="1">+'Staff Expense'!M16</f>
        <v>0</v>
      </c>
      <c r="N13" s="80">
        <f ca="1">+'Staff Expense'!N16</f>
        <v>0</v>
      </c>
      <c r="O13" s="80">
        <f ca="1">+'Staff Expense'!O16</f>
        <v>0</v>
      </c>
      <c r="P13" s="80">
        <f ca="1">+'Staff Expense'!P16</f>
        <v>0</v>
      </c>
      <c r="Q13" s="80">
        <f ca="1">+'Staff Expense'!Q16</f>
        <v>0</v>
      </c>
      <c r="R13" s="80">
        <f ca="1">+'Staff Expense'!R16</f>
        <v>0</v>
      </c>
      <c r="S13" s="80">
        <f ca="1">+'Staff Expense'!S16</f>
        <v>0</v>
      </c>
      <c r="T13" s="80">
        <f ca="1">+'Staff Expense'!T16</f>
        <v>0</v>
      </c>
      <c r="U13" s="80">
        <f ca="1">+'Staff Expense'!U16</f>
        <v>0</v>
      </c>
      <c r="V13" s="80">
        <f ca="1">+'Staff Expense'!V16</f>
        <v>0</v>
      </c>
      <c r="W13" s="80">
        <f ca="1">+'Staff Expense'!W16</f>
        <v>0</v>
      </c>
      <c r="X13" s="80">
        <f ca="1">+'Staff Expense'!X16</f>
        <v>0</v>
      </c>
      <c r="Y13" s="80">
        <f ca="1">+'Staff Expense'!Y16</f>
        <v>0</v>
      </c>
      <c r="Z13" s="80">
        <f ca="1">+'Staff Expense'!Z16</f>
        <v>0</v>
      </c>
      <c r="AA13" s="80">
        <f ca="1">+'Staff Expense'!AA16</f>
        <v>0</v>
      </c>
      <c r="AB13" s="80">
        <f ca="1">+'Staff Expense'!AB16</f>
        <v>6294.75</v>
      </c>
      <c r="AC13" s="80">
        <f ca="1">+'Staff Expense'!AC16</f>
        <v>6294.75</v>
      </c>
      <c r="AD13" s="80">
        <f ca="1">+'Staff Expense'!AD16</f>
        <v>6294.75</v>
      </c>
      <c r="AE13" s="80">
        <f ca="1">+'Staff Expense'!AE16</f>
        <v>6609.4875000000002</v>
      </c>
      <c r="AF13" s="80">
        <f ca="1">+'Staff Expense'!AF16</f>
        <v>6609.4875000000002</v>
      </c>
      <c r="AG13" s="80">
        <f ca="1">+'Staff Expense'!AG16</f>
        <v>6609.4875000000002</v>
      </c>
      <c r="AH13" s="80">
        <f ca="1">+'Staff Expense'!AH16</f>
        <v>6609.4875000000002</v>
      </c>
      <c r="AI13" s="80">
        <f ca="1">+'Staff Expense'!AI16</f>
        <v>6609.4875000000002</v>
      </c>
      <c r="AJ13" s="80">
        <f ca="1">+'Staff Expense'!AJ16</f>
        <v>6609.4875000000002</v>
      </c>
      <c r="AK13" s="80">
        <f ca="1">+'Staff Expense'!AK16</f>
        <v>6609.4875000000002</v>
      </c>
      <c r="AL13" s="80">
        <f ca="1">+'Staff Expense'!AL16</f>
        <v>6609.4875000000002</v>
      </c>
      <c r="AM13" s="80">
        <f ca="1">+'Staff Expense'!AM16</f>
        <v>6609.4875000000002</v>
      </c>
      <c r="AN13" s="80">
        <f ca="1">+'Staff Expense'!AN16</f>
        <v>6609.4875000000002</v>
      </c>
      <c r="AO13" s="80">
        <f ca="1">+'Staff Expense'!AO16</f>
        <v>6609.4875000000002</v>
      </c>
      <c r="AP13" s="80">
        <f ca="1">+'Staff Expense'!AP16</f>
        <v>6609.4875000000002</v>
      </c>
      <c r="AQ13" s="80">
        <f ca="1">+'Staff Expense'!AQ16</f>
        <v>13879.923750000002</v>
      </c>
      <c r="AR13" s="80">
        <f ca="1">+'Staff Expense'!AR16</f>
        <v>13879.923750000002</v>
      </c>
      <c r="AS13" s="80">
        <f ca="1">+'Staff Expense'!AS16</f>
        <v>13879.923750000002</v>
      </c>
      <c r="AT13" s="80">
        <f ca="1">+'Staff Expense'!AT16</f>
        <v>20819.885625000003</v>
      </c>
      <c r="AU13" s="80">
        <f ca="1">+'Staff Expense'!AU16</f>
        <v>20819.885625000003</v>
      </c>
      <c r="AV13" s="80">
        <f ca="1">+'Staff Expense'!AV16</f>
        <v>20819.885625000003</v>
      </c>
      <c r="AW13" s="80">
        <f ca="1">+'Staff Expense'!AW16</f>
        <v>20819.885625000003</v>
      </c>
      <c r="AX13" s="80">
        <f ca="1">+'Staff Expense'!AX16</f>
        <v>20819.885625000003</v>
      </c>
      <c r="AY13" s="80">
        <f ca="1">+'Staff Expense'!AY16</f>
        <v>27759.847500000003</v>
      </c>
      <c r="AZ13" s="80">
        <f ca="1">+'Staff Expense'!AZ16</f>
        <v>27759.847500000003</v>
      </c>
      <c r="BA13" s="80">
        <f ca="1">+'Staff Expense'!BA16</f>
        <v>27759.847500000003</v>
      </c>
      <c r="BB13" s="80">
        <f ca="1">+'Staff Expense'!BB16</f>
        <v>27759.847500000003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16384" x14ac:dyDescent="0.15">
      <c r="A14" s="95" t="s">
        <v>205</v>
      </c>
      <c r="C14" s="82">
        <f t="shared" ca="1" si="5"/>
        <v>2530.9170606381235</v>
      </c>
      <c r="D14" s="80">
        <f t="shared" ca="1" si="5"/>
        <v>32657.29089055342</v>
      </c>
      <c r="E14" s="80">
        <f t="shared" ca="1" si="5"/>
        <v>95089.357440719366</v>
      </c>
      <c r="F14" s="80">
        <f t="shared" ca="1" si="5"/>
        <v>292439.93947447452</v>
      </c>
      <c r="G14" s="77">
        <f ca="1">+G9*INDEX(Main!$C$17:$F$17,G$2-YEAR(Main!$H$2)+1)</f>
        <v>30.119999999999997</v>
      </c>
      <c r="H14" s="80">
        <f ca="1">+H9*INDEX(Main!$C$17:$F$17,H$2-YEAR(Main!$H$2)+1)</f>
        <v>45.923951006685428</v>
      </c>
      <c r="I14" s="80">
        <f ca="1">+I9*INDEX(Main!$C$17:$F$17,I$2-YEAR(Main!$H$2)+1)</f>
        <v>54.097355939867128</v>
      </c>
      <c r="J14" s="80">
        <f ca="1">+J9*INDEX(Main!$C$17:$F$17,J$2-YEAR(Main!$H$2)+1)</f>
        <v>68.623315479177776</v>
      </c>
      <c r="K14" s="80">
        <f ca="1">+K9*INDEX(Main!$C$17:$F$17,K$2-YEAR(Main!$H$2)+1)</f>
        <v>76.381093103351702</v>
      </c>
      <c r="L14" s="80">
        <f ca="1">+L9*INDEX(Main!$C$17:$F$17,L$2-YEAR(Main!$H$2)+1)</f>
        <v>80.771533867112197</v>
      </c>
      <c r="M14" s="80">
        <f ca="1">+M9*INDEX(Main!$C$17:$F$17,M$2-YEAR(Main!$H$2)+1)</f>
        <v>173.84672577016133</v>
      </c>
      <c r="N14" s="80">
        <f ca="1">+N9*INDEX(Main!$C$17:$F$17,N$2-YEAR(Main!$H$2)+1)</f>
        <v>271.7336525760382</v>
      </c>
      <c r="O14" s="80">
        <f ca="1">+O9*INDEX(Main!$C$17:$F$17,O$2-YEAR(Main!$H$2)+1)</f>
        <v>372.50280674442263</v>
      </c>
      <c r="P14" s="80">
        <f ca="1">+P9*INDEX(Main!$C$17:$F$17,P$2-YEAR(Main!$H$2)+1)</f>
        <v>424.99816804565569</v>
      </c>
      <c r="Q14" s="80">
        <f ca="1">+Q9*INDEX(Main!$C$17:$F$17,Q$2-YEAR(Main!$H$2)+1)</f>
        <v>455.85148337946117</v>
      </c>
      <c r="R14" s="80">
        <f ca="1">+R9*INDEX(Main!$C$17:$F$17,R$2-YEAR(Main!$H$2)+1)</f>
        <v>476.06697472618993</v>
      </c>
      <c r="S14" s="80">
        <f ca="1">+S9*INDEX(Main!$C$17:$F$17,S$2-YEAR(Main!$H$2)+1)</f>
        <v>1176.6113837531698</v>
      </c>
      <c r="T14" s="80">
        <f ca="1">+T9*INDEX(Main!$C$17:$F$17,T$2-YEAR(Main!$H$2)+1)</f>
        <v>1698.9278528933885</v>
      </c>
      <c r="U14" s="80">
        <f ca="1">+U9*INDEX(Main!$C$17:$F$17,U$2-YEAR(Main!$H$2)+1)</f>
        <v>2104.6031160806292</v>
      </c>
      <c r="V14" s="80">
        <f ca="1">+V9*INDEX(Main!$C$17:$F$17,V$2-YEAR(Main!$H$2)+1)</f>
        <v>2384.881359347376</v>
      </c>
      <c r="W14" s="80">
        <f ca="1">+W9*INDEX(Main!$C$17:$F$17,W$2-YEAR(Main!$H$2)+1)</f>
        <v>2586.265560005485</v>
      </c>
      <c r="X14" s="80">
        <f ca="1">+X9*INDEX(Main!$C$17:$F$17,X$2-YEAR(Main!$H$2)+1)</f>
        <v>2737.1860620668035</v>
      </c>
      <c r="Y14" s="80">
        <f ca="1">+Y9*INDEX(Main!$C$17:$F$17,Y$2-YEAR(Main!$H$2)+1)</f>
        <v>2906.6053131708049</v>
      </c>
      <c r="Z14" s="80">
        <f ca="1">+Z9*INDEX(Main!$C$17:$F$17,Z$2-YEAR(Main!$H$2)+1)</f>
        <v>3089.9649770928104</v>
      </c>
      <c r="AA14" s="80">
        <f ca="1">+AA9*INDEX(Main!$C$17:$F$17,AA$2-YEAR(Main!$H$2)+1)</f>
        <v>3284.2777742679668</v>
      </c>
      <c r="AB14" s="80">
        <f ca="1">+AB9*INDEX(Main!$C$17:$F$17,AB$2-YEAR(Main!$H$2)+1)</f>
        <v>3437.3944537305856</v>
      </c>
      <c r="AC14" s="80">
        <f ca="1">+AC9*INDEX(Main!$C$17:$F$17,AC$2-YEAR(Main!$H$2)+1)</f>
        <v>3567.2267667479537</v>
      </c>
      <c r="AD14" s="80">
        <f ca="1">+AD9*INDEX(Main!$C$17:$F$17,AD$2-YEAR(Main!$H$2)+1)</f>
        <v>3683.3462713964423</v>
      </c>
      <c r="AE14" s="80">
        <f ca="1">+AE9*INDEX(Main!$C$17:$F$17,AE$2-YEAR(Main!$H$2)+1)</f>
        <v>4864.2798964638814</v>
      </c>
      <c r="AF14" s="80">
        <f ca="1">+AF9*INDEX(Main!$C$17:$F$17,AF$2-YEAR(Main!$H$2)+1)</f>
        <v>5749.4651820842928</v>
      </c>
      <c r="AG14" s="80">
        <f ca="1">+AG9*INDEX(Main!$C$17:$F$17,AG$2-YEAR(Main!$H$2)+1)</f>
        <v>6423.7237229294833</v>
      </c>
      <c r="AH14" s="80">
        <f ca="1">+AH9*INDEX(Main!$C$17:$F$17,AH$2-YEAR(Main!$H$2)+1)</f>
        <v>6948.0889088855711</v>
      </c>
      <c r="AI14" s="80">
        <f ca="1">+AI9*INDEX(Main!$C$17:$F$17,AI$2-YEAR(Main!$H$2)+1)</f>
        <v>7366.5413704413395</v>
      </c>
      <c r="AJ14" s="80">
        <f ca="1">+AJ9*INDEX(Main!$C$17:$F$17,AJ$2-YEAR(Main!$H$2)+1)</f>
        <v>7710.7661335187831</v>
      </c>
      <c r="AK14" s="80">
        <f ca="1">+AK9*INDEX(Main!$C$17:$F$17,AK$2-YEAR(Main!$H$2)+1)</f>
        <v>8220.4506922386627</v>
      </c>
      <c r="AL14" s="80">
        <f ca="1">+AL9*INDEX(Main!$C$17:$F$17,AL$2-YEAR(Main!$H$2)+1)</f>
        <v>8635.5912990874676</v>
      </c>
      <c r="AM14" s="80">
        <f ca="1">+AM9*INDEX(Main!$C$17:$F$17,AM$2-YEAR(Main!$H$2)+1)</f>
        <v>8984.9021640046685</v>
      </c>
      <c r="AN14" s="80">
        <f ca="1">+AN9*INDEX(Main!$C$17:$F$17,AN$2-YEAR(Main!$H$2)+1)</f>
        <v>9556.0402650325886</v>
      </c>
      <c r="AO14" s="80">
        <f ca="1">+AO9*INDEX(Main!$C$17:$F$17,AO$2-YEAR(Main!$H$2)+1)</f>
        <v>10073.714190154355</v>
      </c>
      <c r="AP14" s="80">
        <f ca="1">+AP9*INDEX(Main!$C$17:$F$17,AP$2-YEAR(Main!$H$2)+1)</f>
        <v>10555.793615878272</v>
      </c>
      <c r="AQ14" s="80">
        <f ca="1">+AQ9*INDEX(Main!$C$17:$F$17,AQ$2-YEAR(Main!$H$2)+1)</f>
        <v>13985.969097313049</v>
      </c>
      <c r="AR14" s="80">
        <f ca="1">+AR9*INDEX(Main!$C$17:$F$17,AR$2-YEAR(Main!$H$2)+1)</f>
        <v>16784.38593655311</v>
      </c>
      <c r="AS14" s="80">
        <f ca="1">+AS9*INDEX(Main!$C$17:$F$17,AS$2-YEAR(Main!$H$2)+1)</f>
        <v>19095.970676823679</v>
      </c>
      <c r="AT14" s="80">
        <f ca="1">+AT9*INDEX(Main!$C$17:$F$17,AT$2-YEAR(Main!$H$2)+1)</f>
        <v>21084.09720602899</v>
      </c>
      <c r="AU14" s="80">
        <f ca="1">+AU9*INDEX(Main!$C$17:$F$17,AU$2-YEAR(Main!$H$2)+1)</f>
        <v>22828.695251034937</v>
      </c>
      <c r="AV14" s="80">
        <f ca="1">+AV9*INDEX(Main!$C$17:$F$17,AV$2-YEAR(Main!$H$2)+1)</f>
        <v>24390.027377711795</v>
      </c>
      <c r="AW14" s="80">
        <f ca="1">+AW9*INDEX(Main!$C$17:$F$17,AW$2-YEAR(Main!$H$2)+1)</f>
        <v>25815.264466241671</v>
      </c>
      <c r="AX14" s="80">
        <f ca="1">+AX9*INDEX(Main!$C$17:$F$17,AX$2-YEAR(Main!$H$2)+1)</f>
        <v>27145.592434037291</v>
      </c>
      <c r="AY14" s="80">
        <f ca="1">+AY9*INDEX(Main!$C$17:$F$17,AY$2-YEAR(Main!$H$2)+1)</f>
        <v>28408.796875315242</v>
      </c>
      <c r="AZ14" s="80">
        <f ca="1">+AZ9*INDEX(Main!$C$17:$F$17,AZ$2-YEAR(Main!$H$2)+1)</f>
        <v>29676.922866902834</v>
      </c>
      <c r="BA14" s="80">
        <f ca="1">+BA9*INDEX(Main!$C$17:$F$17,BA$2-YEAR(Main!$H$2)+1)</f>
        <v>30960.563605436877</v>
      </c>
      <c r="BB14" s="80">
        <f ca="1">+BB9*INDEX(Main!$C$17:$F$17,BB$2-YEAR(Main!$H$2)+1)</f>
        <v>32263.653681075022</v>
      </c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16384" x14ac:dyDescent="0.15">
      <c r="A15" s="47" t="s">
        <v>58</v>
      </c>
      <c r="C15" s="82">
        <f t="shared" si="5"/>
        <v>0</v>
      </c>
      <c r="D15" s="77">
        <f t="shared" si="5"/>
        <v>0</v>
      </c>
      <c r="E15" s="77">
        <f t="shared" si="5"/>
        <v>0</v>
      </c>
      <c r="F15" s="77">
        <f t="shared" si="5"/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0</v>
      </c>
      <c r="U15" s="295"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v>0</v>
      </c>
      <c r="AC15" s="295">
        <v>0</v>
      </c>
      <c r="AD15" s="295">
        <v>0</v>
      </c>
      <c r="AE15" s="295">
        <v>0</v>
      </c>
      <c r="AF15" s="295">
        <v>0</v>
      </c>
      <c r="AG15" s="295">
        <v>0</v>
      </c>
      <c r="AH15" s="295">
        <v>0</v>
      </c>
      <c r="AI15" s="295">
        <v>0</v>
      </c>
      <c r="AJ15" s="295">
        <v>0</v>
      </c>
      <c r="AK15" s="295">
        <v>0</v>
      </c>
      <c r="AL15" s="295">
        <v>0</v>
      </c>
      <c r="AM15" s="295">
        <v>0</v>
      </c>
      <c r="AN15" s="295">
        <v>0</v>
      </c>
      <c r="AO15" s="295">
        <v>0</v>
      </c>
      <c r="AP15" s="295">
        <v>0</v>
      </c>
      <c r="AQ15" s="295">
        <v>0</v>
      </c>
      <c r="AR15" s="295">
        <v>0</v>
      </c>
      <c r="AS15" s="295">
        <v>0</v>
      </c>
      <c r="AT15" s="295">
        <v>0</v>
      </c>
      <c r="AU15" s="295">
        <v>0</v>
      </c>
      <c r="AV15" s="295">
        <v>0</v>
      </c>
      <c r="AW15" s="295">
        <v>0</v>
      </c>
      <c r="AX15" s="295">
        <v>0</v>
      </c>
      <c r="AY15" s="295">
        <v>0</v>
      </c>
      <c r="AZ15" s="295">
        <v>0</v>
      </c>
      <c r="BA15" s="295">
        <v>0</v>
      </c>
      <c r="BB15" s="295">
        <v>0</v>
      </c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16384" s="75" customFormat="1" x14ac:dyDescent="0.15">
      <c r="A16" s="75" t="s">
        <v>59</v>
      </c>
      <c r="C16" s="42">
        <f t="shared" ca="1" si="5"/>
        <v>50530.917060638123</v>
      </c>
      <c r="D16" s="81">
        <f t="shared" ca="1" si="5"/>
        <v>151353.31040395543</v>
      </c>
      <c r="E16" s="81">
        <f t="shared" ca="1" si="5"/>
        <v>407482.29004359822</v>
      </c>
      <c r="F16" s="81">
        <f t="shared" ca="1" si="5"/>
        <v>1004133.2401241621</v>
      </c>
      <c r="G16" s="81">
        <f ca="1">SUM(G12:G15)</f>
        <v>4030.12</v>
      </c>
      <c r="H16" s="81">
        <f t="shared" ref="H16:BB16" ca="1" si="6">SUM(H12:H15)</f>
        <v>4045.9239510066855</v>
      </c>
      <c r="I16" s="81">
        <f t="shared" ca="1" si="6"/>
        <v>4054.0973559398672</v>
      </c>
      <c r="J16" s="81">
        <f t="shared" ca="1" si="6"/>
        <v>4068.6233154791776</v>
      </c>
      <c r="K16" s="81">
        <f t="shared" ca="1" si="6"/>
        <v>4076.3810931033518</v>
      </c>
      <c r="L16" s="81">
        <f t="shared" ca="1" si="6"/>
        <v>4080.7715338671123</v>
      </c>
      <c r="M16" s="81">
        <f t="shared" ca="1" si="6"/>
        <v>4173.8467257701614</v>
      </c>
      <c r="N16" s="81">
        <f t="shared" ca="1" si="6"/>
        <v>4271.7336525760384</v>
      </c>
      <c r="O16" s="81">
        <f t="shared" ca="1" si="6"/>
        <v>4372.5028067444227</v>
      </c>
      <c r="P16" s="81">
        <f t="shared" ca="1" si="6"/>
        <v>4424.9981680456558</v>
      </c>
      <c r="Q16" s="81">
        <f t="shared" ca="1" si="6"/>
        <v>4455.8514833794616</v>
      </c>
      <c r="R16" s="81">
        <f t="shared" ca="1" si="6"/>
        <v>4476.06697472619</v>
      </c>
      <c r="S16" s="81">
        <f t="shared" ca="1" si="6"/>
        <v>5176.6113837531702</v>
      </c>
      <c r="T16" s="81">
        <f t="shared" ca="1" si="6"/>
        <v>5698.9278528933883</v>
      </c>
      <c r="U16" s="81">
        <f t="shared" ca="1" si="6"/>
        <v>6104.6031160806288</v>
      </c>
      <c r="V16" s="81">
        <f t="shared" ca="1" si="6"/>
        <v>6384.881359347376</v>
      </c>
      <c r="W16" s="81">
        <f t="shared" ca="1" si="6"/>
        <v>6586.265560005485</v>
      </c>
      <c r="X16" s="81">
        <f t="shared" ca="1" si="6"/>
        <v>6737.1860620668031</v>
      </c>
      <c r="Y16" s="81">
        <f t="shared" ca="1" si="6"/>
        <v>6906.6053131708049</v>
      </c>
      <c r="Z16" s="81">
        <f t="shared" ca="1" si="6"/>
        <v>17103.392014961421</v>
      </c>
      <c r="AA16" s="81">
        <f t="shared" ca="1" si="6"/>
        <v>17511.062857582237</v>
      </c>
      <c r="AB16" s="81">
        <f t="shared" ca="1" si="6"/>
        <v>24123.855369597397</v>
      </c>
      <c r="AC16" s="81">
        <f t="shared" ca="1" si="6"/>
        <v>24391.21173920147</v>
      </c>
      <c r="AD16" s="81">
        <f t="shared" ca="1" si="6"/>
        <v>24628.707775295246</v>
      </c>
      <c r="AE16" s="81">
        <f t="shared" ca="1" si="6"/>
        <v>27482.962734845765</v>
      </c>
      <c r="AF16" s="81">
        <f t="shared" ca="1" si="6"/>
        <v>29378.07943323021</v>
      </c>
      <c r="AG16" s="81">
        <f t="shared" ca="1" si="6"/>
        <v>30813.628024449372</v>
      </c>
      <c r="AH16" s="81">
        <f t="shared" ca="1" si="6"/>
        <v>31922.60441035105</v>
      </c>
      <c r="AI16" s="81">
        <f t="shared" ca="1" si="6"/>
        <v>32800.843984695552</v>
      </c>
      <c r="AJ16" s="81">
        <f t="shared" ca="1" si="6"/>
        <v>33517.388402747427</v>
      </c>
      <c r="AK16" s="81">
        <f t="shared" ca="1" si="6"/>
        <v>34590.832984707951</v>
      </c>
      <c r="AL16" s="81">
        <f t="shared" ca="1" si="6"/>
        <v>35458.328292780221</v>
      </c>
      <c r="AM16" s="81">
        <f t="shared" ca="1" si="6"/>
        <v>36182.441685104575</v>
      </c>
      <c r="AN16" s="81">
        <f t="shared" ca="1" si="6"/>
        <v>37385.441929535446</v>
      </c>
      <c r="AO16" s="81">
        <f t="shared" ca="1" si="6"/>
        <v>38471.170762708898</v>
      </c>
      <c r="AP16" s="81">
        <f t="shared" ca="1" si="6"/>
        <v>39478.567398441795</v>
      </c>
      <c r="AQ16" s="81">
        <f t="shared" ca="1" si="6"/>
        <v>54129.083145465687</v>
      </c>
      <c r="AR16" s="81">
        <f t="shared" ca="1" si="6"/>
        <v>60128.675397084429</v>
      </c>
      <c r="AS16" s="81">
        <f t="shared" ca="1" si="6"/>
        <v>65064.269588575211</v>
      </c>
      <c r="AT16" s="81">
        <f t="shared" ca="1" si="6"/>
        <v>76231.50663171726</v>
      </c>
      <c r="AU16" s="81">
        <f t="shared" ca="1" si="6"/>
        <v>79924.962846829061</v>
      </c>
      <c r="AV16" s="81">
        <f t="shared" ca="1" si="6"/>
        <v>83216.199651419432</v>
      </c>
      <c r="AW16" s="81">
        <f t="shared" ca="1" si="6"/>
        <v>86208.226327349461</v>
      </c>
      <c r="AX16" s="81">
        <f t="shared" ca="1" si="6"/>
        <v>88990.887817382347</v>
      </c>
      <c r="AY16" s="81">
        <f t="shared" ca="1" si="6"/>
        <v>98564.824568779572</v>
      </c>
      <c r="AZ16" s="81">
        <f t="shared" ca="1" si="6"/>
        <v>101206.35035758735</v>
      </c>
      <c r="BA16" s="81">
        <f t="shared" ca="1" si="6"/>
        <v>103878.4702067934</v>
      </c>
      <c r="BB16" s="81">
        <f t="shared" ca="1" si="6"/>
        <v>106589.78358517893</v>
      </c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</row>
    <row r="17" spans="1:71" s="75" customFormat="1" x14ac:dyDescent="0.15">
      <c r="A17" s="75" t="s">
        <v>0</v>
      </c>
      <c r="C17" s="42">
        <f t="shared" ca="1" si="5"/>
        <v>33832.984960632653</v>
      </c>
      <c r="D17" s="81">
        <f t="shared" ca="1" si="5"/>
        <v>937223.05261449178</v>
      </c>
      <c r="E17" s="81">
        <f t="shared" ca="1" si="5"/>
        <v>2762162.9579803813</v>
      </c>
      <c r="F17" s="81">
        <f t="shared" ca="1" si="5"/>
        <v>8743864.7423583213</v>
      </c>
      <c r="G17" s="81">
        <f t="shared" ref="G17:BB17" ca="1" si="7">+G9-G16</f>
        <v>-3026.12</v>
      </c>
      <c r="H17" s="81">
        <f t="shared" ca="1" si="7"/>
        <v>-2515.1255841171715</v>
      </c>
      <c r="I17" s="81">
        <f t="shared" ca="1" si="7"/>
        <v>-2250.8521579442959</v>
      </c>
      <c r="J17" s="81">
        <f t="shared" ca="1" si="7"/>
        <v>-1781.1794661732515</v>
      </c>
      <c r="K17" s="81">
        <f t="shared" ca="1" si="7"/>
        <v>-1530.3446563249618</v>
      </c>
      <c r="L17" s="81">
        <f t="shared" ca="1" si="7"/>
        <v>-1388.3870716300389</v>
      </c>
      <c r="M17" s="81">
        <f t="shared" ca="1" si="7"/>
        <v>1621.0441332352166</v>
      </c>
      <c r="N17" s="81">
        <f t="shared" ca="1" si="7"/>
        <v>4786.0547666252351</v>
      </c>
      <c r="O17" s="81">
        <f t="shared" ca="1" si="7"/>
        <v>8044.2574180696656</v>
      </c>
      <c r="P17" s="81">
        <f t="shared" ca="1" si="7"/>
        <v>9741.6074334762015</v>
      </c>
      <c r="Q17" s="81">
        <f t="shared" ca="1" si="7"/>
        <v>10739.197962602579</v>
      </c>
      <c r="R17" s="81">
        <f t="shared" ca="1" si="7"/>
        <v>11392.832182813476</v>
      </c>
      <c r="S17" s="81">
        <f t="shared" ca="1" si="7"/>
        <v>34043.768074685824</v>
      </c>
      <c r="T17" s="81">
        <f t="shared" ca="1" si="7"/>
        <v>50932.000576886232</v>
      </c>
      <c r="U17" s="81">
        <f t="shared" ca="1" si="7"/>
        <v>64048.834086607007</v>
      </c>
      <c r="V17" s="81">
        <f t="shared" ca="1" si="7"/>
        <v>73111.163952231829</v>
      </c>
      <c r="W17" s="81">
        <f t="shared" ca="1" si="7"/>
        <v>79622.586440177343</v>
      </c>
      <c r="X17" s="81">
        <f t="shared" ca="1" si="7"/>
        <v>84502.349340159984</v>
      </c>
      <c r="Y17" s="81">
        <f t="shared" ca="1" si="7"/>
        <v>89980.238459189364</v>
      </c>
      <c r="Z17" s="81">
        <f t="shared" ca="1" si="7"/>
        <v>85895.44055479893</v>
      </c>
      <c r="AA17" s="81">
        <f t="shared" ca="1" si="7"/>
        <v>91964.862951349991</v>
      </c>
      <c r="AB17" s="81">
        <f t="shared" ca="1" si="7"/>
        <v>90455.959754755459</v>
      </c>
      <c r="AC17" s="81">
        <f t="shared" ca="1" si="7"/>
        <v>94516.347152396978</v>
      </c>
      <c r="AD17" s="81">
        <f t="shared" ca="1" si="7"/>
        <v>98149.501271252841</v>
      </c>
      <c r="AE17" s="81">
        <f t="shared" ca="1" si="7"/>
        <v>134659.70048061697</v>
      </c>
      <c r="AF17" s="81">
        <f t="shared" ca="1" si="7"/>
        <v>162270.75996957955</v>
      </c>
      <c r="AG17" s="81">
        <f t="shared" ca="1" si="7"/>
        <v>183310.49607320008</v>
      </c>
      <c r="AH17" s="81">
        <f t="shared" ca="1" si="7"/>
        <v>199680.35921916799</v>
      </c>
      <c r="AI17" s="81">
        <f t="shared" ca="1" si="7"/>
        <v>212750.53503001577</v>
      </c>
      <c r="AJ17" s="81">
        <f t="shared" ca="1" si="7"/>
        <v>223508.14938121202</v>
      </c>
      <c r="AK17" s="81">
        <f t="shared" ca="1" si="7"/>
        <v>239424.19008991413</v>
      </c>
      <c r="AL17" s="81">
        <f t="shared" ca="1" si="7"/>
        <v>252394.71501013538</v>
      </c>
      <c r="AM17" s="81">
        <f t="shared" ca="1" si="7"/>
        <v>263314.29711505107</v>
      </c>
      <c r="AN17" s="81">
        <f t="shared" ca="1" si="7"/>
        <v>281149.23357155081</v>
      </c>
      <c r="AO17" s="81">
        <f t="shared" ca="1" si="7"/>
        <v>297319.30224243627</v>
      </c>
      <c r="AP17" s="81">
        <f t="shared" ca="1" si="7"/>
        <v>312381.21979750064</v>
      </c>
      <c r="AQ17" s="81">
        <f t="shared" ca="1" si="7"/>
        <v>412069.88676496927</v>
      </c>
      <c r="AR17" s="81">
        <f t="shared" ca="1" si="7"/>
        <v>499350.85582135257</v>
      </c>
      <c r="AS17" s="81">
        <f t="shared" ca="1" si="7"/>
        <v>571468.08630554739</v>
      </c>
      <c r="AT17" s="81">
        <f t="shared" ca="1" si="7"/>
        <v>626571.73356924905</v>
      </c>
      <c r="AU17" s="81">
        <f t="shared" ca="1" si="7"/>
        <v>681031.54552100215</v>
      </c>
      <c r="AV17" s="81">
        <f t="shared" ca="1" si="7"/>
        <v>729784.7129389738</v>
      </c>
      <c r="AW17" s="81">
        <f t="shared" ca="1" si="7"/>
        <v>774300.58921403962</v>
      </c>
      <c r="AX17" s="81">
        <f t="shared" ca="1" si="7"/>
        <v>815862.193317194</v>
      </c>
      <c r="AY17" s="81">
        <f t="shared" ca="1" si="7"/>
        <v>848395.07127506181</v>
      </c>
      <c r="AZ17" s="81">
        <f t="shared" ca="1" si="7"/>
        <v>888024.41187250719</v>
      </c>
      <c r="BA17" s="81">
        <f t="shared" ca="1" si="7"/>
        <v>928140.31664110254</v>
      </c>
      <c r="BB17" s="81">
        <f t="shared" ca="1" si="7"/>
        <v>968865.33911732188</v>
      </c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s="74" customFormat="1" x14ac:dyDescent="0.15">
      <c r="A18" s="70"/>
      <c r="B18" s="70"/>
      <c r="C18" s="83"/>
      <c r="D18" s="70"/>
      <c r="E18" s="70"/>
      <c r="F18" s="70"/>
      <c r="G18" s="14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</row>
    <row r="19" spans="1:71" s="204" customFormat="1" ht="16" x14ac:dyDescent="0.2">
      <c r="A19" s="204" t="s">
        <v>54</v>
      </c>
      <c r="C19" s="211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</row>
    <row r="20" spans="1:71" s="309" customFormat="1" x14ac:dyDescent="0.15">
      <c r="A20" s="309" t="s">
        <v>60</v>
      </c>
      <c r="C20" s="331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</row>
    <row r="21" spans="1:71" x14ac:dyDescent="0.15">
      <c r="A21" s="95" t="s">
        <v>104</v>
      </c>
      <c r="C21" s="82">
        <f t="shared" ref="C21:F38" si="8">SUMIFS($G21:$BB21,$G$2:$BB$2,C$3)</f>
        <v>381693.75</v>
      </c>
      <c r="D21" s="80">
        <f t="shared" si="8"/>
        <v>1042023.9375</v>
      </c>
      <c r="E21" s="80">
        <f t="shared" si="8"/>
        <v>1767432.9093750003</v>
      </c>
      <c r="F21" s="80">
        <f t="shared" si="8"/>
        <v>2297662.7821874996</v>
      </c>
      <c r="G21" s="77">
        <f>+'Staff Expense'!G15</f>
        <v>25446.25</v>
      </c>
      <c r="H21" s="80">
        <f>+'Staff Expense'!H15</f>
        <v>25446.25</v>
      </c>
      <c r="I21" s="80">
        <f>+'Staff Expense'!I15</f>
        <v>25446.25</v>
      </c>
      <c r="J21" s="80">
        <f>+'Staff Expense'!J15</f>
        <v>25446.25</v>
      </c>
      <c r="K21" s="80">
        <f>+'Staff Expense'!K15</f>
        <v>25446.25</v>
      </c>
      <c r="L21" s="80">
        <f>+'Staff Expense'!L15</f>
        <v>25446.25</v>
      </c>
      <c r="M21" s="80">
        <f>+'Staff Expense'!M15</f>
        <v>38169.375</v>
      </c>
      <c r="N21" s="80">
        <f>+'Staff Expense'!N15</f>
        <v>38169.375</v>
      </c>
      <c r="O21" s="80">
        <f>+'Staff Expense'!O15</f>
        <v>38169.375</v>
      </c>
      <c r="P21" s="80">
        <f>+'Staff Expense'!P15</f>
        <v>38169.375</v>
      </c>
      <c r="Q21" s="80">
        <f>+'Staff Expense'!Q15</f>
        <v>38169.375</v>
      </c>
      <c r="R21" s="80">
        <f>+'Staff Expense'!R15</f>
        <v>38169.375</v>
      </c>
      <c r="S21" s="80">
        <f>+'Staff Expense'!S15</f>
        <v>66796.40625</v>
      </c>
      <c r="T21" s="80">
        <f>+'Staff Expense'!T15</f>
        <v>66796.40625</v>
      </c>
      <c r="U21" s="80">
        <f>+'Staff Expense'!U15</f>
        <v>66796.40625</v>
      </c>
      <c r="V21" s="80">
        <f>+'Staff Expense'!V15</f>
        <v>80155.6875</v>
      </c>
      <c r="W21" s="80">
        <f>+'Staff Expense'!W15</f>
        <v>80155.6875</v>
      </c>
      <c r="X21" s="80">
        <f>+'Staff Expense'!X15</f>
        <v>80155.6875</v>
      </c>
      <c r="Y21" s="80">
        <f>+'Staff Expense'!Y15</f>
        <v>93514.96875</v>
      </c>
      <c r="Z21" s="80">
        <f>+'Staff Expense'!Z15</f>
        <v>93514.96875</v>
      </c>
      <c r="AA21" s="80">
        <f>+'Staff Expense'!AA15</f>
        <v>93514.96875</v>
      </c>
      <c r="AB21" s="80">
        <f>+'Staff Expense'!AB15</f>
        <v>106874.25</v>
      </c>
      <c r="AC21" s="80">
        <f>+'Staff Expense'!AC15</f>
        <v>106874.25</v>
      </c>
      <c r="AD21" s="80">
        <f>+'Staff Expense'!AD15</f>
        <v>106874.25</v>
      </c>
      <c r="AE21" s="80">
        <f>+'Staff Expense'!AE15</f>
        <v>126245.2078125</v>
      </c>
      <c r="AF21" s="80">
        <f>+'Staff Expense'!AF15</f>
        <v>126245.2078125</v>
      </c>
      <c r="AG21" s="80">
        <f>+'Staff Expense'!AG15</f>
        <v>126245.2078125</v>
      </c>
      <c r="AH21" s="80">
        <f>+'Staff Expense'!AH15</f>
        <v>140272.453125</v>
      </c>
      <c r="AI21" s="80">
        <f>+'Staff Expense'!AI15</f>
        <v>140272.453125</v>
      </c>
      <c r="AJ21" s="80">
        <f>+'Staff Expense'!AJ15</f>
        <v>140272.453125</v>
      </c>
      <c r="AK21" s="80">
        <f>+'Staff Expense'!AK15</f>
        <v>154299.69843750002</v>
      </c>
      <c r="AL21" s="80">
        <f>+'Staff Expense'!AL15</f>
        <v>154299.69843750002</v>
      </c>
      <c r="AM21" s="80">
        <f>+'Staff Expense'!AM15</f>
        <v>154299.69843750002</v>
      </c>
      <c r="AN21" s="80">
        <f>+'Staff Expense'!AN15</f>
        <v>168326.94375000001</v>
      </c>
      <c r="AO21" s="80">
        <f>+'Staff Expense'!AO15</f>
        <v>168326.94375000001</v>
      </c>
      <c r="AP21" s="80">
        <f>+'Staff Expense'!AP15</f>
        <v>168326.94375000001</v>
      </c>
      <c r="AQ21" s="80">
        <f>+'Staff Expense'!AQ15</f>
        <v>191471.89851562501</v>
      </c>
      <c r="AR21" s="80">
        <f>+'Staff Expense'!AR15</f>
        <v>191471.89851562501</v>
      </c>
      <c r="AS21" s="80">
        <f>+'Staff Expense'!AS15</f>
        <v>191471.89851562501</v>
      </c>
      <c r="AT21" s="80">
        <f>+'Staff Expense'!AT15</f>
        <v>191471.89851562501</v>
      </c>
      <c r="AU21" s="80">
        <f>+'Staff Expense'!AU15</f>
        <v>191471.89851562501</v>
      </c>
      <c r="AV21" s="80">
        <f>+'Staff Expense'!AV15</f>
        <v>191471.89851562501</v>
      </c>
      <c r="AW21" s="80">
        <f>+'Staff Expense'!AW15</f>
        <v>191471.89851562501</v>
      </c>
      <c r="AX21" s="80">
        <f>+'Staff Expense'!AX15</f>
        <v>191471.89851562501</v>
      </c>
      <c r="AY21" s="80">
        <f>+'Staff Expense'!AY15</f>
        <v>191471.89851562501</v>
      </c>
      <c r="AZ21" s="80">
        <f>+'Staff Expense'!AZ15</f>
        <v>191471.89851562501</v>
      </c>
      <c r="BA21" s="80">
        <f>+'Staff Expense'!BA15</f>
        <v>191471.89851562501</v>
      </c>
      <c r="BB21" s="80">
        <f>+'Staff Expense'!BB15</f>
        <v>191471.89851562501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15">
      <c r="A22" s="95" t="s">
        <v>105</v>
      </c>
      <c r="C22" s="82">
        <f t="shared" si="8"/>
        <v>24999.999999999996</v>
      </c>
      <c r="D22" s="80">
        <f t="shared" si="8"/>
        <v>49999.999999999993</v>
      </c>
      <c r="E22" s="80">
        <f t="shared" si="8"/>
        <v>49999.999999999993</v>
      </c>
      <c r="F22" s="80">
        <f t="shared" si="8"/>
        <v>75000</v>
      </c>
      <c r="G22" s="77">
        <f>INDEX(Main!$J$67:$M$67,G$2-YEAR(Main!$H$2)+1)/12</f>
        <v>2083.3333333333335</v>
      </c>
      <c r="H22" s="80">
        <f>INDEX(Main!$J$67:$M$67,H$2-YEAR(Main!$H$2)+1)/12</f>
        <v>2083.3333333333335</v>
      </c>
      <c r="I22" s="80">
        <f>INDEX(Main!$J$67:$M$67,I$2-YEAR(Main!$H$2)+1)/12</f>
        <v>2083.3333333333335</v>
      </c>
      <c r="J22" s="80">
        <f>INDEX(Main!$J$67:$M$67,J$2-YEAR(Main!$H$2)+1)/12</f>
        <v>2083.3333333333335</v>
      </c>
      <c r="K22" s="80">
        <f>INDEX(Main!$J$67:$M$67,K$2-YEAR(Main!$H$2)+1)/12</f>
        <v>2083.3333333333335</v>
      </c>
      <c r="L22" s="80">
        <f>INDEX(Main!$J$67:$M$67,L$2-YEAR(Main!$H$2)+1)/12</f>
        <v>2083.3333333333335</v>
      </c>
      <c r="M22" s="80">
        <f>INDEX(Main!$J$67:$M$67,M$2-YEAR(Main!$H$2)+1)/12</f>
        <v>2083.3333333333335</v>
      </c>
      <c r="N22" s="80">
        <f>INDEX(Main!$J$67:$M$67,N$2-YEAR(Main!$H$2)+1)/12</f>
        <v>2083.3333333333335</v>
      </c>
      <c r="O22" s="80">
        <f>INDEX(Main!$J$67:$M$67,O$2-YEAR(Main!$H$2)+1)/12</f>
        <v>2083.3333333333335</v>
      </c>
      <c r="P22" s="80">
        <f>INDEX(Main!$J$67:$M$67,P$2-YEAR(Main!$H$2)+1)/12</f>
        <v>2083.3333333333335</v>
      </c>
      <c r="Q22" s="80">
        <f>INDEX(Main!$J$67:$M$67,Q$2-YEAR(Main!$H$2)+1)/12</f>
        <v>2083.3333333333335</v>
      </c>
      <c r="R22" s="80">
        <f>INDEX(Main!$J$67:$M$67,R$2-YEAR(Main!$H$2)+1)/12</f>
        <v>2083.3333333333335</v>
      </c>
      <c r="S22" s="80">
        <f>INDEX(Main!$J$67:$M$67,S$2-YEAR(Main!$H$2)+1)/12</f>
        <v>4166.666666666667</v>
      </c>
      <c r="T22" s="80">
        <f>INDEX(Main!$J$67:$M$67,T$2-YEAR(Main!$H$2)+1)/12</f>
        <v>4166.666666666667</v>
      </c>
      <c r="U22" s="80">
        <f>INDEX(Main!$J$67:$M$67,U$2-YEAR(Main!$H$2)+1)/12</f>
        <v>4166.666666666667</v>
      </c>
      <c r="V22" s="80">
        <f>INDEX(Main!$J$67:$M$67,V$2-YEAR(Main!$H$2)+1)/12</f>
        <v>4166.666666666667</v>
      </c>
      <c r="W22" s="80">
        <f>INDEX(Main!$J$67:$M$67,W$2-YEAR(Main!$H$2)+1)/12</f>
        <v>4166.666666666667</v>
      </c>
      <c r="X22" s="80">
        <f>INDEX(Main!$J$67:$M$67,X$2-YEAR(Main!$H$2)+1)/12</f>
        <v>4166.666666666667</v>
      </c>
      <c r="Y22" s="80">
        <f>INDEX(Main!$J$67:$M$67,Y$2-YEAR(Main!$H$2)+1)/12</f>
        <v>4166.666666666667</v>
      </c>
      <c r="Z22" s="80">
        <f>INDEX(Main!$J$67:$M$67,Z$2-YEAR(Main!$H$2)+1)/12</f>
        <v>4166.666666666667</v>
      </c>
      <c r="AA22" s="80">
        <f>INDEX(Main!$J$67:$M$67,AA$2-YEAR(Main!$H$2)+1)/12</f>
        <v>4166.666666666667</v>
      </c>
      <c r="AB22" s="80">
        <f>INDEX(Main!$J$67:$M$67,AB$2-YEAR(Main!$H$2)+1)/12</f>
        <v>4166.666666666667</v>
      </c>
      <c r="AC22" s="80">
        <f>INDEX(Main!$J$67:$M$67,AC$2-YEAR(Main!$H$2)+1)/12</f>
        <v>4166.666666666667</v>
      </c>
      <c r="AD22" s="80">
        <f>INDEX(Main!$J$67:$M$67,AD$2-YEAR(Main!$H$2)+1)/12</f>
        <v>4166.666666666667</v>
      </c>
      <c r="AE22" s="80">
        <f>INDEX(Main!$J$67:$M$67,AE$2-YEAR(Main!$H$2)+1)/12</f>
        <v>4166.666666666667</v>
      </c>
      <c r="AF22" s="80">
        <f>INDEX(Main!$J$67:$M$67,AF$2-YEAR(Main!$H$2)+1)/12</f>
        <v>4166.666666666667</v>
      </c>
      <c r="AG22" s="80">
        <f>INDEX(Main!$J$67:$M$67,AG$2-YEAR(Main!$H$2)+1)/12</f>
        <v>4166.666666666667</v>
      </c>
      <c r="AH22" s="80">
        <f>INDEX(Main!$J$67:$M$67,AH$2-YEAR(Main!$H$2)+1)/12</f>
        <v>4166.666666666667</v>
      </c>
      <c r="AI22" s="80">
        <f>INDEX(Main!$J$67:$M$67,AI$2-YEAR(Main!$H$2)+1)/12</f>
        <v>4166.666666666667</v>
      </c>
      <c r="AJ22" s="80">
        <f>INDEX(Main!$J$67:$M$67,AJ$2-YEAR(Main!$H$2)+1)/12</f>
        <v>4166.666666666667</v>
      </c>
      <c r="AK22" s="80">
        <f>INDEX(Main!$J$67:$M$67,AK$2-YEAR(Main!$H$2)+1)/12</f>
        <v>4166.666666666667</v>
      </c>
      <c r="AL22" s="80">
        <f>INDEX(Main!$J$67:$M$67,AL$2-YEAR(Main!$H$2)+1)/12</f>
        <v>4166.666666666667</v>
      </c>
      <c r="AM22" s="80">
        <f>INDEX(Main!$J$67:$M$67,AM$2-YEAR(Main!$H$2)+1)/12</f>
        <v>4166.666666666667</v>
      </c>
      <c r="AN22" s="80">
        <f>INDEX(Main!$J$67:$M$67,AN$2-YEAR(Main!$H$2)+1)/12</f>
        <v>4166.666666666667</v>
      </c>
      <c r="AO22" s="80">
        <f>INDEX(Main!$J$67:$M$67,AO$2-YEAR(Main!$H$2)+1)/12</f>
        <v>4166.666666666667</v>
      </c>
      <c r="AP22" s="80">
        <f>INDEX(Main!$J$67:$M$67,AP$2-YEAR(Main!$H$2)+1)/12</f>
        <v>4166.666666666667</v>
      </c>
      <c r="AQ22" s="80">
        <f>INDEX(Main!$J$67:$M$67,AQ$2-YEAR(Main!$H$2)+1)/12</f>
        <v>6250</v>
      </c>
      <c r="AR22" s="80">
        <f>INDEX(Main!$J$67:$M$67,AR$2-YEAR(Main!$H$2)+1)/12</f>
        <v>6250</v>
      </c>
      <c r="AS22" s="80">
        <f>INDEX(Main!$J$67:$M$67,AS$2-YEAR(Main!$H$2)+1)/12</f>
        <v>6250</v>
      </c>
      <c r="AT22" s="80">
        <f>INDEX(Main!$J$67:$M$67,AT$2-YEAR(Main!$H$2)+1)/12</f>
        <v>6250</v>
      </c>
      <c r="AU22" s="80">
        <f>INDEX(Main!$J$67:$M$67,AU$2-YEAR(Main!$H$2)+1)/12</f>
        <v>6250</v>
      </c>
      <c r="AV22" s="80">
        <f>INDEX(Main!$J$67:$M$67,AV$2-YEAR(Main!$H$2)+1)/12</f>
        <v>6250</v>
      </c>
      <c r="AW22" s="80">
        <f>INDEX(Main!$J$67:$M$67,AW$2-YEAR(Main!$H$2)+1)/12</f>
        <v>6250</v>
      </c>
      <c r="AX22" s="80">
        <f>INDEX(Main!$J$67:$M$67,AX$2-YEAR(Main!$H$2)+1)/12</f>
        <v>6250</v>
      </c>
      <c r="AY22" s="80">
        <f>INDEX(Main!$J$67:$M$67,AY$2-YEAR(Main!$H$2)+1)/12</f>
        <v>6250</v>
      </c>
      <c r="AZ22" s="80">
        <f>INDEX(Main!$J$67:$M$67,AZ$2-YEAR(Main!$H$2)+1)/12</f>
        <v>6250</v>
      </c>
      <c r="BA22" s="80">
        <f>INDEX(Main!$J$67:$M$67,BA$2-YEAR(Main!$H$2)+1)/12</f>
        <v>6250</v>
      </c>
      <c r="BB22" s="80">
        <f>INDEX(Main!$J$67:$M$67,BB$2-YEAR(Main!$H$2)+1)/12</f>
        <v>6250</v>
      </c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s="284" customFormat="1" x14ac:dyDescent="0.15">
      <c r="A23" s="279" t="s">
        <v>106</v>
      </c>
      <c r="B23" s="280"/>
      <c r="C23" s="281">
        <f t="shared" si="8"/>
        <v>406693.74999999994</v>
      </c>
      <c r="D23" s="282">
        <f t="shared" si="8"/>
        <v>1092023.9375</v>
      </c>
      <c r="E23" s="282">
        <f t="shared" si="8"/>
        <v>1817432.9093749998</v>
      </c>
      <c r="F23" s="282">
        <f t="shared" si="8"/>
        <v>2372662.7821874996</v>
      </c>
      <c r="G23" s="282">
        <f>SUM(G21:G22)</f>
        <v>27529.583333333332</v>
      </c>
      <c r="H23" s="282">
        <f t="shared" ref="H23:BB23" si="9">SUM(H21:H22)</f>
        <v>27529.583333333332</v>
      </c>
      <c r="I23" s="282">
        <f t="shared" si="9"/>
        <v>27529.583333333332</v>
      </c>
      <c r="J23" s="282">
        <f t="shared" si="9"/>
        <v>27529.583333333332</v>
      </c>
      <c r="K23" s="282">
        <f t="shared" si="9"/>
        <v>27529.583333333332</v>
      </c>
      <c r="L23" s="282">
        <f t="shared" si="9"/>
        <v>27529.583333333332</v>
      </c>
      <c r="M23" s="282">
        <f t="shared" si="9"/>
        <v>40252.708333333336</v>
      </c>
      <c r="N23" s="282">
        <f t="shared" si="9"/>
        <v>40252.708333333336</v>
      </c>
      <c r="O23" s="282">
        <f t="shared" si="9"/>
        <v>40252.708333333336</v>
      </c>
      <c r="P23" s="282">
        <f t="shared" si="9"/>
        <v>40252.708333333336</v>
      </c>
      <c r="Q23" s="282">
        <f t="shared" si="9"/>
        <v>40252.708333333336</v>
      </c>
      <c r="R23" s="282">
        <f t="shared" si="9"/>
        <v>40252.708333333336</v>
      </c>
      <c r="S23" s="282">
        <f t="shared" si="9"/>
        <v>70963.072916666672</v>
      </c>
      <c r="T23" s="282">
        <f t="shared" si="9"/>
        <v>70963.072916666672</v>
      </c>
      <c r="U23" s="282">
        <f t="shared" si="9"/>
        <v>70963.072916666672</v>
      </c>
      <c r="V23" s="282">
        <f t="shared" si="9"/>
        <v>84322.354166666672</v>
      </c>
      <c r="W23" s="282">
        <f t="shared" si="9"/>
        <v>84322.354166666672</v>
      </c>
      <c r="X23" s="282">
        <f t="shared" si="9"/>
        <v>84322.354166666672</v>
      </c>
      <c r="Y23" s="282">
        <f t="shared" si="9"/>
        <v>97681.635416666672</v>
      </c>
      <c r="Z23" s="282">
        <f t="shared" si="9"/>
        <v>97681.635416666672</v>
      </c>
      <c r="AA23" s="282">
        <f t="shared" si="9"/>
        <v>97681.635416666672</v>
      </c>
      <c r="AB23" s="282">
        <f t="shared" si="9"/>
        <v>111040.91666666667</v>
      </c>
      <c r="AC23" s="282">
        <f t="shared" si="9"/>
        <v>111040.91666666667</v>
      </c>
      <c r="AD23" s="282">
        <f t="shared" si="9"/>
        <v>111040.91666666667</v>
      </c>
      <c r="AE23" s="282">
        <f t="shared" si="9"/>
        <v>130411.87447916667</v>
      </c>
      <c r="AF23" s="282">
        <f t="shared" si="9"/>
        <v>130411.87447916667</v>
      </c>
      <c r="AG23" s="282">
        <f t="shared" si="9"/>
        <v>130411.87447916667</v>
      </c>
      <c r="AH23" s="282">
        <f t="shared" si="9"/>
        <v>144439.11979166666</v>
      </c>
      <c r="AI23" s="282">
        <f t="shared" si="9"/>
        <v>144439.11979166666</v>
      </c>
      <c r="AJ23" s="282">
        <f t="shared" si="9"/>
        <v>144439.11979166666</v>
      </c>
      <c r="AK23" s="282">
        <f t="shared" si="9"/>
        <v>158466.36510416667</v>
      </c>
      <c r="AL23" s="282">
        <f t="shared" si="9"/>
        <v>158466.36510416667</v>
      </c>
      <c r="AM23" s="282">
        <f t="shared" si="9"/>
        <v>158466.36510416667</v>
      </c>
      <c r="AN23" s="282">
        <f t="shared" si="9"/>
        <v>172493.61041666666</v>
      </c>
      <c r="AO23" s="282">
        <f t="shared" si="9"/>
        <v>172493.61041666666</v>
      </c>
      <c r="AP23" s="282">
        <f t="shared" si="9"/>
        <v>172493.61041666666</v>
      </c>
      <c r="AQ23" s="282">
        <f t="shared" si="9"/>
        <v>197721.89851562501</v>
      </c>
      <c r="AR23" s="282">
        <f t="shared" si="9"/>
        <v>197721.89851562501</v>
      </c>
      <c r="AS23" s="282">
        <f t="shared" si="9"/>
        <v>197721.89851562501</v>
      </c>
      <c r="AT23" s="282">
        <f t="shared" si="9"/>
        <v>197721.89851562501</v>
      </c>
      <c r="AU23" s="282">
        <f t="shared" si="9"/>
        <v>197721.89851562501</v>
      </c>
      <c r="AV23" s="282">
        <f t="shared" si="9"/>
        <v>197721.89851562501</v>
      </c>
      <c r="AW23" s="282">
        <f t="shared" si="9"/>
        <v>197721.89851562501</v>
      </c>
      <c r="AX23" s="282">
        <f t="shared" si="9"/>
        <v>197721.89851562501</v>
      </c>
      <c r="AY23" s="282">
        <f t="shared" si="9"/>
        <v>197721.89851562501</v>
      </c>
      <c r="AZ23" s="282">
        <f t="shared" si="9"/>
        <v>197721.89851562501</v>
      </c>
      <c r="BA23" s="282">
        <f t="shared" si="9"/>
        <v>197721.89851562501</v>
      </c>
      <c r="BB23" s="282">
        <f t="shared" si="9"/>
        <v>197721.89851562501</v>
      </c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</row>
    <row r="24" spans="1:71" s="309" customFormat="1" x14ac:dyDescent="0.15">
      <c r="A24" s="309" t="s">
        <v>62</v>
      </c>
      <c r="C24" s="331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</row>
    <row r="25" spans="1:71" x14ac:dyDescent="0.15">
      <c r="A25" s="95" t="s">
        <v>104</v>
      </c>
      <c r="C25" s="82">
        <f t="shared" ca="1" si="8"/>
        <v>0</v>
      </c>
      <c r="D25" s="80">
        <f t="shared" ca="1" si="8"/>
        <v>265899.375</v>
      </c>
      <c r="E25" s="80">
        <f t="shared" ca="1" si="8"/>
        <v>558388.6875</v>
      </c>
      <c r="F25" s="80">
        <f t="shared" ca="1" si="8"/>
        <v>912034.85624999995</v>
      </c>
      <c r="G25" s="77">
        <f>+'Staff Expense'!G14</f>
        <v>0</v>
      </c>
      <c r="H25" s="80">
        <f ca="1">+'Staff Expense'!H14</f>
        <v>0</v>
      </c>
      <c r="I25" s="80">
        <f ca="1">+'Staff Expense'!I14</f>
        <v>0</v>
      </c>
      <c r="J25" s="80">
        <f ca="1">+'Staff Expense'!J14</f>
        <v>0</v>
      </c>
      <c r="K25" s="80">
        <f ca="1">+'Staff Expense'!K14</f>
        <v>0</v>
      </c>
      <c r="L25" s="80">
        <f ca="1">+'Staff Expense'!L14</f>
        <v>0</v>
      </c>
      <c r="M25" s="80">
        <f ca="1">+'Staff Expense'!M14</f>
        <v>0</v>
      </c>
      <c r="N25" s="80">
        <f ca="1">+'Staff Expense'!N14</f>
        <v>0</v>
      </c>
      <c r="O25" s="80">
        <f ca="1">+'Staff Expense'!O14</f>
        <v>0</v>
      </c>
      <c r="P25" s="80">
        <f ca="1">+'Staff Expense'!P14</f>
        <v>0</v>
      </c>
      <c r="Q25" s="80">
        <f ca="1">+'Staff Expense'!Q14</f>
        <v>0</v>
      </c>
      <c r="R25" s="80">
        <f ca="1">+'Staff Expense'!R14</f>
        <v>0</v>
      </c>
      <c r="S25" s="80">
        <f ca="1">+'Staff Expense'!S14</f>
        <v>14772.1875</v>
      </c>
      <c r="T25" s="80">
        <f ca="1">+'Staff Expense'!T14</f>
        <v>14772.1875</v>
      </c>
      <c r="U25" s="80">
        <f ca="1">+'Staff Expense'!U14</f>
        <v>14772.1875</v>
      </c>
      <c r="V25" s="80">
        <f ca="1">+'Staff Expense'!V14</f>
        <v>14772.1875</v>
      </c>
      <c r="W25" s="80">
        <f ca="1">+'Staff Expense'!W14</f>
        <v>14772.1875</v>
      </c>
      <c r="X25" s="80">
        <f ca="1">+'Staff Expense'!X14</f>
        <v>14772.1875</v>
      </c>
      <c r="Y25" s="80">
        <f ca="1">+'Staff Expense'!Y14</f>
        <v>29544.375</v>
      </c>
      <c r="Z25" s="80">
        <f ca="1">+'Staff Expense'!Z14</f>
        <v>29544.375</v>
      </c>
      <c r="AA25" s="80">
        <f ca="1">+'Staff Expense'!AA14</f>
        <v>29544.375</v>
      </c>
      <c r="AB25" s="80">
        <f ca="1">+'Staff Expense'!AB14</f>
        <v>29544.375</v>
      </c>
      <c r="AC25" s="80">
        <f ca="1">+'Staff Expense'!AC14</f>
        <v>29544.375</v>
      </c>
      <c r="AD25" s="80">
        <f ca="1">+'Staff Expense'!AD14</f>
        <v>29544.375</v>
      </c>
      <c r="AE25" s="80">
        <f ca="1">+'Staff Expense'!AE14</f>
        <v>31021.59375</v>
      </c>
      <c r="AF25" s="80">
        <f ca="1">+'Staff Expense'!AF14</f>
        <v>31021.59375</v>
      </c>
      <c r="AG25" s="80">
        <f ca="1">+'Staff Expense'!AG14</f>
        <v>31021.59375</v>
      </c>
      <c r="AH25" s="80">
        <f ca="1">+'Staff Expense'!AH14</f>
        <v>46532.390625</v>
      </c>
      <c r="AI25" s="80">
        <f ca="1">+'Staff Expense'!AI14</f>
        <v>46532.390625</v>
      </c>
      <c r="AJ25" s="80">
        <f ca="1">+'Staff Expense'!AJ14</f>
        <v>46532.390625</v>
      </c>
      <c r="AK25" s="80">
        <f ca="1">+'Staff Expense'!AK14</f>
        <v>46532.390625</v>
      </c>
      <c r="AL25" s="80">
        <f ca="1">+'Staff Expense'!AL14</f>
        <v>46532.390625</v>
      </c>
      <c r="AM25" s="80">
        <f ca="1">+'Staff Expense'!AM14</f>
        <v>46532.390625</v>
      </c>
      <c r="AN25" s="80">
        <f ca="1">+'Staff Expense'!AN14</f>
        <v>62043.1875</v>
      </c>
      <c r="AO25" s="80">
        <f ca="1">+'Staff Expense'!AO14</f>
        <v>62043.1875</v>
      </c>
      <c r="AP25" s="80">
        <f ca="1">+'Staff Expense'!AP14</f>
        <v>62043.1875</v>
      </c>
      <c r="AQ25" s="80">
        <f ca="1">+'Staff Expense'!AQ14</f>
        <v>48859.010156250006</v>
      </c>
      <c r="AR25" s="80">
        <f ca="1">+'Staff Expense'!AR14</f>
        <v>48859.010156250006</v>
      </c>
      <c r="AS25" s="80">
        <f ca="1">+'Staff Expense'!AS14</f>
        <v>65145.34687500001</v>
      </c>
      <c r="AT25" s="80">
        <f ca="1">+'Staff Expense'!AT14</f>
        <v>65145.34687500001</v>
      </c>
      <c r="AU25" s="80">
        <f ca="1">+'Staff Expense'!AU14</f>
        <v>65145.34687500001</v>
      </c>
      <c r="AV25" s="80">
        <f ca="1">+'Staff Expense'!AV14</f>
        <v>81431.683593750015</v>
      </c>
      <c r="AW25" s="80">
        <f ca="1">+'Staff Expense'!AW14</f>
        <v>81431.683593750015</v>
      </c>
      <c r="AX25" s="80">
        <f ca="1">+'Staff Expense'!AX14</f>
        <v>81431.683593750015</v>
      </c>
      <c r="AY25" s="80">
        <f ca="1">+'Staff Expense'!AY14</f>
        <v>81431.683593750015</v>
      </c>
      <c r="AZ25" s="80">
        <f ca="1">+'Staff Expense'!AZ14</f>
        <v>97718.020312500012</v>
      </c>
      <c r="BA25" s="80">
        <f ca="1">+'Staff Expense'!BA14</f>
        <v>97718.020312500012</v>
      </c>
      <c r="BB25" s="80">
        <f ca="1">+'Staff Expense'!BB14</f>
        <v>97718.020312500012</v>
      </c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15">
      <c r="A26" s="95" t="s">
        <v>206</v>
      </c>
      <c r="C26" s="82">
        <f t="shared" si="8"/>
        <v>10000</v>
      </c>
      <c r="D26" s="80">
        <f t="shared" si="8"/>
        <v>20000</v>
      </c>
      <c r="E26" s="80">
        <f t="shared" si="8"/>
        <v>40000</v>
      </c>
      <c r="F26" s="80">
        <f t="shared" si="8"/>
        <v>49999.999999999993</v>
      </c>
      <c r="G26" s="80">
        <f>INDEX(Main!$J$64:$M$64,G$2-YEAR(Main!$H$2)+1)/12</f>
        <v>833.33333333333337</v>
      </c>
      <c r="H26" s="80">
        <f>INDEX(Main!$J$64:$M$64,H$2-YEAR(Main!$H$2)+1)/12</f>
        <v>833.33333333333337</v>
      </c>
      <c r="I26" s="80">
        <f>INDEX(Main!$J$64:$M$64,I$2-YEAR(Main!$H$2)+1)/12</f>
        <v>833.33333333333337</v>
      </c>
      <c r="J26" s="80">
        <f>INDEX(Main!$J$64:$M$64,J$2-YEAR(Main!$H$2)+1)/12</f>
        <v>833.33333333333337</v>
      </c>
      <c r="K26" s="80">
        <f>INDEX(Main!$J$64:$M$64,K$2-YEAR(Main!$H$2)+1)/12</f>
        <v>833.33333333333337</v>
      </c>
      <c r="L26" s="80">
        <f>INDEX(Main!$J$64:$M$64,L$2-YEAR(Main!$H$2)+1)/12</f>
        <v>833.33333333333337</v>
      </c>
      <c r="M26" s="80">
        <f>INDEX(Main!$J$64:$M$64,M$2-YEAR(Main!$H$2)+1)/12</f>
        <v>833.33333333333337</v>
      </c>
      <c r="N26" s="80">
        <f>INDEX(Main!$J$64:$M$64,N$2-YEAR(Main!$H$2)+1)/12</f>
        <v>833.33333333333337</v>
      </c>
      <c r="O26" s="80">
        <f>INDEX(Main!$J$64:$M$64,O$2-YEAR(Main!$H$2)+1)/12</f>
        <v>833.33333333333337</v>
      </c>
      <c r="P26" s="80">
        <f>INDEX(Main!$J$64:$M$64,P$2-YEAR(Main!$H$2)+1)/12</f>
        <v>833.33333333333337</v>
      </c>
      <c r="Q26" s="80">
        <f>INDEX(Main!$J$64:$M$64,Q$2-YEAR(Main!$H$2)+1)/12</f>
        <v>833.33333333333337</v>
      </c>
      <c r="R26" s="80">
        <f>INDEX(Main!$J$64:$M$64,R$2-YEAR(Main!$H$2)+1)/12</f>
        <v>833.33333333333337</v>
      </c>
      <c r="S26" s="80">
        <f>INDEX(Main!$J$64:$M$64,S$2-YEAR(Main!$H$2)+1)/12</f>
        <v>1666.6666666666667</v>
      </c>
      <c r="T26" s="80">
        <f>INDEX(Main!$J$64:$M$64,T$2-YEAR(Main!$H$2)+1)/12</f>
        <v>1666.6666666666667</v>
      </c>
      <c r="U26" s="80">
        <f>INDEX(Main!$J$64:$M$64,U$2-YEAR(Main!$H$2)+1)/12</f>
        <v>1666.6666666666667</v>
      </c>
      <c r="V26" s="80">
        <f>INDEX(Main!$J$64:$M$64,V$2-YEAR(Main!$H$2)+1)/12</f>
        <v>1666.6666666666667</v>
      </c>
      <c r="W26" s="80">
        <f>INDEX(Main!$J$64:$M$64,W$2-YEAR(Main!$H$2)+1)/12</f>
        <v>1666.6666666666667</v>
      </c>
      <c r="X26" s="80">
        <f>INDEX(Main!$J$64:$M$64,X$2-YEAR(Main!$H$2)+1)/12</f>
        <v>1666.6666666666667</v>
      </c>
      <c r="Y26" s="80">
        <f>INDEX(Main!$J$64:$M$64,Y$2-YEAR(Main!$H$2)+1)/12</f>
        <v>1666.6666666666667</v>
      </c>
      <c r="Z26" s="80">
        <f>INDEX(Main!$J$64:$M$64,Z$2-YEAR(Main!$H$2)+1)/12</f>
        <v>1666.6666666666667</v>
      </c>
      <c r="AA26" s="80">
        <f>INDEX(Main!$J$64:$M$64,AA$2-YEAR(Main!$H$2)+1)/12</f>
        <v>1666.6666666666667</v>
      </c>
      <c r="AB26" s="80">
        <f>INDEX(Main!$J$64:$M$64,AB$2-YEAR(Main!$H$2)+1)/12</f>
        <v>1666.6666666666667</v>
      </c>
      <c r="AC26" s="80">
        <f>INDEX(Main!$J$64:$M$64,AC$2-YEAR(Main!$H$2)+1)/12</f>
        <v>1666.6666666666667</v>
      </c>
      <c r="AD26" s="80">
        <f>INDEX(Main!$J$64:$M$64,AD$2-YEAR(Main!$H$2)+1)/12</f>
        <v>1666.6666666666667</v>
      </c>
      <c r="AE26" s="80">
        <f>INDEX(Main!$J$64:$M$64,AE$2-YEAR(Main!$H$2)+1)/12</f>
        <v>3333.3333333333335</v>
      </c>
      <c r="AF26" s="80">
        <f>INDEX(Main!$J$64:$M$64,AF$2-YEAR(Main!$H$2)+1)/12</f>
        <v>3333.3333333333335</v>
      </c>
      <c r="AG26" s="80">
        <f>INDEX(Main!$J$64:$M$64,AG$2-YEAR(Main!$H$2)+1)/12</f>
        <v>3333.3333333333335</v>
      </c>
      <c r="AH26" s="80">
        <f>INDEX(Main!$J$64:$M$64,AH$2-YEAR(Main!$H$2)+1)/12</f>
        <v>3333.3333333333335</v>
      </c>
      <c r="AI26" s="80">
        <f>INDEX(Main!$J$64:$M$64,AI$2-YEAR(Main!$H$2)+1)/12</f>
        <v>3333.3333333333335</v>
      </c>
      <c r="AJ26" s="80">
        <f>INDEX(Main!$J$64:$M$64,AJ$2-YEAR(Main!$H$2)+1)/12</f>
        <v>3333.3333333333335</v>
      </c>
      <c r="AK26" s="80">
        <f>INDEX(Main!$J$64:$M$64,AK$2-YEAR(Main!$H$2)+1)/12</f>
        <v>3333.3333333333335</v>
      </c>
      <c r="AL26" s="80">
        <f>INDEX(Main!$J$64:$M$64,AL$2-YEAR(Main!$H$2)+1)/12</f>
        <v>3333.3333333333335</v>
      </c>
      <c r="AM26" s="80">
        <f>INDEX(Main!$J$64:$M$64,AM$2-YEAR(Main!$H$2)+1)/12</f>
        <v>3333.3333333333335</v>
      </c>
      <c r="AN26" s="80">
        <f>INDEX(Main!$J$64:$M$64,AN$2-YEAR(Main!$H$2)+1)/12</f>
        <v>3333.3333333333335</v>
      </c>
      <c r="AO26" s="80">
        <f>INDEX(Main!$J$64:$M$64,AO$2-YEAR(Main!$H$2)+1)/12</f>
        <v>3333.3333333333335</v>
      </c>
      <c r="AP26" s="80">
        <f>INDEX(Main!$J$64:$M$64,AP$2-YEAR(Main!$H$2)+1)/12</f>
        <v>3333.3333333333335</v>
      </c>
      <c r="AQ26" s="80">
        <f>INDEX(Main!$J$64:$M$64,AQ$2-YEAR(Main!$H$2)+1)/12</f>
        <v>4166.666666666667</v>
      </c>
      <c r="AR26" s="80">
        <f>INDEX(Main!$J$64:$M$64,AR$2-YEAR(Main!$H$2)+1)/12</f>
        <v>4166.666666666667</v>
      </c>
      <c r="AS26" s="80">
        <f>INDEX(Main!$J$64:$M$64,AS$2-YEAR(Main!$H$2)+1)/12</f>
        <v>4166.666666666667</v>
      </c>
      <c r="AT26" s="80">
        <f>INDEX(Main!$J$64:$M$64,AT$2-YEAR(Main!$H$2)+1)/12</f>
        <v>4166.666666666667</v>
      </c>
      <c r="AU26" s="80">
        <f>INDEX(Main!$J$64:$M$64,AU$2-YEAR(Main!$H$2)+1)/12</f>
        <v>4166.666666666667</v>
      </c>
      <c r="AV26" s="80">
        <f>INDEX(Main!$J$64:$M$64,AV$2-YEAR(Main!$H$2)+1)/12</f>
        <v>4166.666666666667</v>
      </c>
      <c r="AW26" s="80">
        <f>INDEX(Main!$J$64:$M$64,AW$2-YEAR(Main!$H$2)+1)/12</f>
        <v>4166.666666666667</v>
      </c>
      <c r="AX26" s="80">
        <f>INDEX(Main!$J$64:$M$64,AX$2-YEAR(Main!$H$2)+1)/12</f>
        <v>4166.666666666667</v>
      </c>
      <c r="AY26" s="80">
        <f>INDEX(Main!$J$64:$M$64,AY$2-YEAR(Main!$H$2)+1)/12</f>
        <v>4166.666666666667</v>
      </c>
      <c r="AZ26" s="80">
        <f>INDEX(Main!$J$64:$M$64,AZ$2-YEAR(Main!$H$2)+1)/12</f>
        <v>4166.666666666667</v>
      </c>
      <c r="BA26" s="80">
        <f>INDEX(Main!$J$64:$M$64,BA$2-YEAR(Main!$H$2)+1)/12</f>
        <v>4166.666666666667</v>
      </c>
      <c r="BB26" s="80">
        <f>INDEX(Main!$J$64:$M$64,BB$2-YEAR(Main!$H$2)+1)/12</f>
        <v>4166.666666666667</v>
      </c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s="284" customFormat="1" x14ac:dyDescent="0.15">
      <c r="A27" s="279" t="s">
        <v>107</v>
      </c>
      <c r="B27" s="280"/>
      <c r="C27" s="281">
        <f t="shared" ca="1" si="8"/>
        <v>10000</v>
      </c>
      <c r="D27" s="282">
        <f t="shared" ca="1" si="8"/>
        <v>285899.375</v>
      </c>
      <c r="E27" s="282">
        <f t="shared" ca="1" si="8"/>
        <v>598388.6875</v>
      </c>
      <c r="F27" s="282">
        <f t="shared" ca="1" si="8"/>
        <v>962034.85625000019</v>
      </c>
      <c r="G27" s="282">
        <f>SUM(G25:G26)</f>
        <v>833.33333333333337</v>
      </c>
      <c r="H27" s="282">
        <f t="shared" ref="H27:BB27" ca="1" si="10">SUM(H25:H26)</f>
        <v>833.33333333333337</v>
      </c>
      <c r="I27" s="282">
        <f t="shared" ca="1" si="10"/>
        <v>833.33333333333337</v>
      </c>
      <c r="J27" s="282">
        <f t="shared" ca="1" si="10"/>
        <v>833.33333333333337</v>
      </c>
      <c r="K27" s="282">
        <f t="shared" ca="1" si="10"/>
        <v>833.33333333333337</v>
      </c>
      <c r="L27" s="282">
        <f t="shared" ca="1" si="10"/>
        <v>833.33333333333337</v>
      </c>
      <c r="M27" s="282">
        <f t="shared" ca="1" si="10"/>
        <v>833.33333333333337</v>
      </c>
      <c r="N27" s="282">
        <f t="shared" ca="1" si="10"/>
        <v>833.33333333333337</v>
      </c>
      <c r="O27" s="282">
        <f t="shared" ca="1" si="10"/>
        <v>833.33333333333337</v>
      </c>
      <c r="P27" s="282">
        <f t="shared" ca="1" si="10"/>
        <v>833.33333333333337</v>
      </c>
      <c r="Q27" s="282">
        <f t="shared" ca="1" si="10"/>
        <v>833.33333333333337</v>
      </c>
      <c r="R27" s="282">
        <f t="shared" ca="1" si="10"/>
        <v>833.33333333333337</v>
      </c>
      <c r="S27" s="282">
        <f t="shared" ca="1" si="10"/>
        <v>16438.854166666668</v>
      </c>
      <c r="T27" s="282">
        <f t="shared" ca="1" si="10"/>
        <v>16438.854166666668</v>
      </c>
      <c r="U27" s="282">
        <f t="shared" ca="1" si="10"/>
        <v>16438.854166666668</v>
      </c>
      <c r="V27" s="282">
        <f t="shared" ca="1" si="10"/>
        <v>16438.854166666668</v>
      </c>
      <c r="W27" s="282">
        <f t="shared" ca="1" si="10"/>
        <v>16438.854166666668</v>
      </c>
      <c r="X27" s="282">
        <f t="shared" ca="1" si="10"/>
        <v>16438.854166666668</v>
      </c>
      <c r="Y27" s="282">
        <f t="shared" ca="1" si="10"/>
        <v>31211.041666666668</v>
      </c>
      <c r="Z27" s="282">
        <f t="shared" ca="1" si="10"/>
        <v>31211.041666666668</v>
      </c>
      <c r="AA27" s="282">
        <f t="shared" ca="1" si="10"/>
        <v>31211.041666666668</v>
      </c>
      <c r="AB27" s="282">
        <f t="shared" ca="1" si="10"/>
        <v>31211.041666666668</v>
      </c>
      <c r="AC27" s="282">
        <f t="shared" ca="1" si="10"/>
        <v>31211.041666666668</v>
      </c>
      <c r="AD27" s="282">
        <f t="shared" ca="1" si="10"/>
        <v>31211.041666666668</v>
      </c>
      <c r="AE27" s="282">
        <f t="shared" ca="1" si="10"/>
        <v>34354.927083333336</v>
      </c>
      <c r="AF27" s="282">
        <f t="shared" ca="1" si="10"/>
        <v>34354.927083333336</v>
      </c>
      <c r="AG27" s="282">
        <f t="shared" ca="1" si="10"/>
        <v>34354.927083333336</v>
      </c>
      <c r="AH27" s="282">
        <f t="shared" ca="1" si="10"/>
        <v>49865.723958333336</v>
      </c>
      <c r="AI27" s="282">
        <f t="shared" ca="1" si="10"/>
        <v>49865.723958333336</v>
      </c>
      <c r="AJ27" s="282">
        <f t="shared" ca="1" si="10"/>
        <v>49865.723958333336</v>
      </c>
      <c r="AK27" s="282">
        <f t="shared" ca="1" si="10"/>
        <v>49865.723958333336</v>
      </c>
      <c r="AL27" s="282">
        <f t="shared" ca="1" si="10"/>
        <v>49865.723958333336</v>
      </c>
      <c r="AM27" s="282">
        <f t="shared" ca="1" si="10"/>
        <v>49865.723958333336</v>
      </c>
      <c r="AN27" s="282">
        <f t="shared" ca="1" si="10"/>
        <v>65376.520833333336</v>
      </c>
      <c r="AO27" s="282">
        <f t="shared" ca="1" si="10"/>
        <v>65376.520833333336</v>
      </c>
      <c r="AP27" s="282">
        <f t="shared" ca="1" si="10"/>
        <v>65376.520833333336</v>
      </c>
      <c r="AQ27" s="282">
        <f t="shared" ca="1" si="10"/>
        <v>53025.67682291667</v>
      </c>
      <c r="AR27" s="282">
        <f t="shared" ca="1" si="10"/>
        <v>53025.67682291667</v>
      </c>
      <c r="AS27" s="282">
        <f t="shared" ca="1" si="10"/>
        <v>69312.013541666674</v>
      </c>
      <c r="AT27" s="282">
        <f t="shared" ca="1" si="10"/>
        <v>69312.013541666674</v>
      </c>
      <c r="AU27" s="282">
        <f t="shared" ca="1" si="10"/>
        <v>69312.013541666674</v>
      </c>
      <c r="AV27" s="282">
        <f t="shared" ca="1" si="10"/>
        <v>85598.350260416686</v>
      </c>
      <c r="AW27" s="282">
        <f t="shared" ca="1" si="10"/>
        <v>85598.350260416686</v>
      </c>
      <c r="AX27" s="282">
        <f t="shared" ca="1" si="10"/>
        <v>85598.350260416686</v>
      </c>
      <c r="AY27" s="282">
        <f t="shared" ca="1" si="10"/>
        <v>85598.350260416686</v>
      </c>
      <c r="AZ27" s="282">
        <f t="shared" ca="1" si="10"/>
        <v>101884.68697916668</v>
      </c>
      <c r="BA27" s="282">
        <f t="shared" ca="1" si="10"/>
        <v>101884.68697916668</v>
      </c>
      <c r="BB27" s="282">
        <f t="shared" ca="1" si="10"/>
        <v>101884.68697916668</v>
      </c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</row>
    <row r="28" spans="1:71" s="309" customFormat="1" x14ac:dyDescent="0.15">
      <c r="A28" s="309" t="s">
        <v>63</v>
      </c>
      <c r="C28" s="331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</row>
    <row r="29" spans="1:71" x14ac:dyDescent="0.15">
      <c r="A29" s="95" t="s">
        <v>104</v>
      </c>
      <c r="C29" s="82">
        <f t="shared" si="8"/>
        <v>280150</v>
      </c>
      <c r="D29" s="80">
        <f t="shared" si="8"/>
        <v>1488015.375</v>
      </c>
      <c r="E29" s="80">
        <f t="shared" si="8"/>
        <v>2544875.9437499996</v>
      </c>
      <c r="F29" s="80">
        <f t="shared" si="8"/>
        <v>2672119.7409374998</v>
      </c>
      <c r="G29" s="77">
        <f>+'Staff Expense'!G17+'Staff Expense'!G18</f>
        <v>18554.166666666668</v>
      </c>
      <c r="H29" s="80">
        <f>+'Staff Expense'!H17+'Staff Expense'!H18</f>
        <v>18554.166666666668</v>
      </c>
      <c r="I29" s="80">
        <f>+'Staff Expense'!I17+'Staff Expense'!I18</f>
        <v>18554.166666666668</v>
      </c>
      <c r="J29" s="80">
        <f>+'Staff Expense'!J17+'Staff Expense'!J18</f>
        <v>18554.166666666668</v>
      </c>
      <c r="K29" s="80">
        <f>+'Staff Expense'!K17+'Staff Expense'!K18</f>
        <v>18554.166666666668</v>
      </c>
      <c r="L29" s="80">
        <f>+'Staff Expense'!L17+'Staff Expense'!L18</f>
        <v>18554.166666666668</v>
      </c>
      <c r="M29" s="80">
        <f>+'Staff Expense'!M17+'Staff Expense'!M18</f>
        <v>28137.5</v>
      </c>
      <c r="N29" s="80">
        <f>+'Staff Expense'!N17+'Staff Expense'!N18</f>
        <v>28137.5</v>
      </c>
      <c r="O29" s="80">
        <f>+'Staff Expense'!O17+'Staff Expense'!O18</f>
        <v>28137.5</v>
      </c>
      <c r="P29" s="80">
        <f>+'Staff Expense'!P17+'Staff Expense'!P18</f>
        <v>28137.5</v>
      </c>
      <c r="Q29" s="80">
        <f>+'Staff Expense'!Q17+'Staff Expense'!Q18</f>
        <v>28137.5</v>
      </c>
      <c r="R29" s="80">
        <f>+'Staff Expense'!R17+'Staff Expense'!R18</f>
        <v>28137.5</v>
      </c>
      <c r="S29" s="80">
        <f>+'Staff Expense'!S17+'Staff Expense'!S18</f>
        <v>124001.28125</v>
      </c>
      <c r="T29" s="80">
        <f>+'Staff Expense'!T17+'Staff Expense'!T18</f>
        <v>124001.28125</v>
      </c>
      <c r="U29" s="80">
        <f>+'Staff Expense'!U17+'Staff Expense'!U18</f>
        <v>124001.28125</v>
      </c>
      <c r="V29" s="80">
        <f>+'Staff Expense'!V17+'Staff Expense'!V18</f>
        <v>124001.28125</v>
      </c>
      <c r="W29" s="80">
        <f>+'Staff Expense'!W17+'Staff Expense'!W18</f>
        <v>124001.28125</v>
      </c>
      <c r="X29" s="80">
        <f>+'Staff Expense'!X17+'Staff Expense'!X18</f>
        <v>124001.28125</v>
      </c>
      <c r="Y29" s="80">
        <f>+'Staff Expense'!Y17+'Staff Expense'!Y18</f>
        <v>124001.28125</v>
      </c>
      <c r="Z29" s="80">
        <f>+'Staff Expense'!Z17+'Staff Expense'!Z18</f>
        <v>124001.28125</v>
      </c>
      <c r="AA29" s="80">
        <f>+'Staff Expense'!AA17+'Staff Expense'!AA18</f>
        <v>124001.28125</v>
      </c>
      <c r="AB29" s="80">
        <f>+'Staff Expense'!AB17+'Staff Expense'!AB18</f>
        <v>124001.28125</v>
      </c>
      <c r="AC29" s="80">
        <f>+'Staff Expense'!AC17+'Staff Expense'!AC18</f>
        <v>124001.28125</v>
      </c>
      <c r="AD29" s="80">
        <f>+'Staff Expense'!AD17+'Staff Expense'!AD18</f>
        <v>124001.28125</v>
      </c>
      <c r="AE29" s="80">
        <f>+'Staff Expense'!AE17+'Staff Expense'!AE18</f>
        <v>212072.99531249999</v>
      </c>
      <c r="AF29" s="80">
        <f>+'Staff Expense'!AF17+'Staff Expense'!AF18</f>
        <v>212072.99531249999</v>
      </c>
      <c r="AG29" s="80">
        <f>+'Staff Expense'!AG17+'Staff Expense'!AG18</f>
        <v>212072.99531249999</v>
      </c>
      <c r="AH29" s="80">
        <f>+'Staff Expense'!AH17+'Staff Expense'!AH18</f>
        <v>212072.99531249999</v>
      </c>
      <c r="AI29" s="80">
        <f>+'Staff Expense'!AI17+'Staff Expense'!AI18</f>
        <v>212072.99531249999</v>
      </c>
      <c r="AJ29" s="80">
        <f>+'Staff Expense'!AJ17+'Staff Expense'!AJ18</f>
        <v>212072.99531249999</v>
      </c>
      <c r="AK29" s="80">
        <f>+'Staff Expense'!AK17+'Staff Expense'!AK18</f>
        <v>212072.99531249999</v>
      </c>
      <c r="AL29" s="80">
        <f>+'Staff Expense'!AL17+'Staff Expense'!AL18</f>
        <v>212072.99531249999</v>
      </c>
      <c r="AM29" s="80">
        <f>+'Staff Expense'!AM17+'Staff Expense'!AM18</f>
        <v>212072.99531249999</v>
      </c>
      <c r="AN29" s="80">
        <f>+'Staff Expense'!AN17+'Staff Expense'!AN18</f>
        <v>212072.99531249999</v>
      </c>
      <c r="AO29" s="80">
        <f>+'Staff Expense'!AO17+'Staff Expense'!AO18</f>
        <v>212072.99531249999</v>
      </c>
      <c r="AP29" s="80">
        <f>+'Staff Expense'!AP17+'Staff Expense'!AP18</f>
        <v>212072.99531249999</v>
      </c>
      <c r="AQ29" s="80">
        <f>+'Staff Expense'!AQ17+'Staff Expense'!AQ18</f>
        <v>222676.645078125</v>
      </c>
      <c r="AR29" s="80">
        <f>+'Staff Expense'!AR17+'Staff Expense'!AR18</f>
        <v>222676.645078125</v>
      </c>
      <c r="AS29" s="80">
        <f>+'Staff Expense'!AS17+'Staff Expense'!AS18</f>
        <v>222676.645078125</v>
      </c>
      <c r="AT29" s="80">
        <f>+'Staff Expense'!AT17+'Staff Expense'!AT18</f>
        <v>222676.645078125</v>
      </c>
      <c r="AU29" s="80">
        <f>+'Staff Expense'!AU17+'Staff Expense'!AU18</f>
        <v>222676.645078125</v>
      </c>
      <c r="AV29" s="80">
        <f>+'Staff Expense'!AV17+'Staff Expense'!AV18</f>
        <v>222676.645078125</v>
      </c>
      <c r="AW29" s="80">
        <f>+'Staff Expense'!AW17+'Staff Expense'!AW18</f>
        <v>222676.645078125</v>
      </c>
      <c r="AX29" s="80">
        <f>+'Staff Expense'!AX17+'Staff Expense'!AX18</f>
        <v>222676.645078125</v>
      </c>
      <c r="AY29" s="80">
        <f>+'Staff Expense'!AY17+'Staff Expense'!AY18</f>
        <v>222676.645078125</v>
      </c>
      <c r="AZ29" s="80">
        <f>+'Staff Expense'!AZ17+'Staff Expense'!AZ18</f>
        <v>222676.645078125</v>
      </c>
      <c r="BA29" s="80">
        <f>+'Staff Expense'!BA17+'Staff Expense'!BA18</f>
        <v>222676.645078125</v>
      </c>
      <c r="BB29" s="80">
        <f>+'Staff Expense'!BB17+'Staff Expense'!BB18</f>
        <v>222676.645078125</v>
      </c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15">
      <c r="A30" s="95" t="s">
        <v>113</v>
      </c>
      <c r="C30" s="82">
        <f t="shared" ca="1" si="8"/>
        <v>30000</v>
      </c>
      <c r="D30" s="80">
        <f t="shared" ca="1" si="8"/>
        <v>129375</v>
      </c>
      <c r="E30" s="80">
        <f t="shared" ca="1" si="8"/>
        <v>228750</v>
      </c>
      <c r="F30" s="80">
        <f t="shared" ca="1" si="8"/>
        <v>275625</v>
      </c>
      <c r="G30" s="87">
        <f>Main!$J$50/12*'Staff Expense'!G11</f>
        <v>1875</v>
      </c>
      <c r="H30" s="87">
        <f ca="1">Main!$J$50/12*'Staff Expense'!H11</f>
        <v>1875</v>
      </c>
      <c r="I30" s="87">
        <f ca="1">Main!$J$50/12*'Staff Expense'!I11</f>
        <v>1875</v>
      </c>
      <c r="J30" s="87">
        <f ca="1">Main!$J$50/12*'Staff Expense'!J11</f>
        <v>1875</v>
      </c>
      <c r="K30" s="87">
        <f ca="1">Main!$J$50/12*'Staff Expense'!K11</f>
        <v>1875</v>
      </c>
      <c r="L30" s="87">
        <f ca="1">Main!$J$50/12*'Staff Expense'!L11</f>
        <v>1875</v>
      </c>
      <c r="M30" s="87">
        <f ca="1">Main!$J$50/12*'Staff Expense'!M11</f>
        <v>3125</v>
      </c>
      <c r="N30" s="87">
        <f ca="1">Main!$J$50/12*'Staff Expense'!N11</f>
        <v>3125</v>
      </c>
      <c r="O30" s="87">
        <f ca="1">Main!$J$50/12*'Staff Expense'!O11</f>
        <v>3125</v>
      </c>
      <c r="P30" s="87">
        <f ca="1">Main!$J$50/12*'Staff Expense'!P11</f>
        <v>3125</v>
      </c>
      <c r="Q30" s="87">
        <f ca="1">Main!$J$50/12*'Staff Expense'!Q11</f>
        <v>3125</v>
      </c>
      <c r="R30" s="87">
        <f ca="1">Main!$J$50/12*'Staff Expense'!R11</f>
        <v>3125</v>
      </c>
      <c r="S30" s="87">
        <f ca="1">Main!$J$50/12*'Staff Expense'!S11</f>
        <v>9375</v>
      </c>
      <c r="T30" s="87">
        <f ca="1">Main!$J$50/12*'Staff Expense'!T11</f>
        <v>9375</v>
      </c>
      <c r="U30" s="87">
        <f ca="1">Main!$J$50/12*'Staff Expense'!U11</f>
        <v>9375</v>
      </c>
      <c r="V30" s="87">
        <f ca="1">Main!$J$50/12*'Staff Expense'!V11</f>
        <v>10000</v>
      </c>
      <c r="W30" s="87">
        <f ca="1">Main!$J$50/12*'Staff Expense'!W11</f>
        <v>10000</v>
      </c>
      <c r="X30" s="87">
        <f ca="1">Main!$J$50/12*'Staff Expense'!X11</f>
        <v>10000</v>
      </c>
      <c r="Y30" s="87">
        <f ca="1">Main!$J$50/12*'Staff Expense'!Y11</f>
        <v>11250</v>
      </c>
      <c r="Z30" s="87">
        <f ca="1">Main!$J$50/12*'Staff Expense'!Z11</f>
        <v>11250</v>
      </c>
      <c r="AA30" s="87">
        <f ca="1">Main!$J$50/12*'Staff Expense'!AA11</f>
        <v>11250</v>
      </c>
      <c r="AB30" s="87">
        <f ca="1">Main!$J$50/12*'Staff Expense'!AB11</f>
        <v>12500</v>
      </c>
      <c r="AC30" s="87">
        <f ca="1">Main!$J$50/12*'Staff Expense'!AC11</f>
        <v>12500</v>
      </c>
      <c r="AD30" s="87">
        <f ca="1">Main!$J$50/12*'Staff Expense'!AD11</f>
        <v>12500</v>
      </c>
      <c r="AE30" s="87">
        <f ca="1">Main!$J$50/12*'Staff Expense'!AE11</f>
        <v>17500</v>
      </c>
      <c r="AF30" s="87">
        <f ca="1">Main!$J$50/12*'Staff Expense'!AF11</f>
        <v>17500</v>
      </c>
      <c r="AG30" s="87">
        <f ca="1">Main!$J$50/12*'Staff Expense'!AG11</f>
        <v>17500</v>
      </c>
      <c r="AH30" s="87">
        <f ca="1">Main!$J$50/12*'Staff Expense'!AH11</f>
        <v>18750</v>
      </c>
      <c r="AI30" s="87">
        <f ca="1">Main!$J$50/12*'Staff Expense'!AI11</f>
        <v>18750</v>
      </c>
      <c r="AJ30" s="87">
        <f ca="1">Main!$J$50/12*'Staff Expense'!AJ11</f>
        <v>18750</v>
      </c>
      <c r="AK30" s="87">
        <f ca="1">Main!$J$50/12*'Staff Expense'!AK11</f>
        <v>19375</v>
      </c>
      <c r="AL30" s="87">
        <f ca="1">Main!$J$50/12*'Staff Expense'!AL11</f>
        <v>19375</v>
      </c>
      <c r="AM30" s="87">
        <f ca="1">Main!$J$50/12*'Staff Expense'!AM11</f>
        <v>19375</v>
      </c>
      <c r="AN30" s="87">
        <f ca="1">Main!$J$50/12*'Staff Expense'!AN11</f>
        <v>20625</v>
      </c>
      <c r="AO30" s="87">
        <f ca="1">Main!$J$50/12*'Staff Expense'!AO11</f>
        <v>20625</v>
      </c>
      <c r="AP30" s="87">
        <f ca="1">Main!$J$50/12*'Staff Expense'!AP11</f>
        <v>20625</v>
      </c>
      <c r="AQ30" s="87">
        <f ca="1">Main!$J$50/12*'Staff Expense'!AQ11</f>
        <v>21250</v>
      </c>
      <c r="AR30" s="87">
        <f ca="1">Main!$J$50/12*'Staff Expense'!AR11</f>
        <v>21250</v>
      </c>
      <c r="AS30" s="87">
        <f ca="1">Main!$J$50/12*'Staff Expense'!AS11</f>
        <v>21875</v>
      </c>
      <c r="AT30" s="87">
        <f ca="1">Main!$J$50/12*'Staff Expense'!AT11</f>
        <v>22500</v>
      </c>
      <c r="AU30" s="87">
        <f ca="1">Main!$J$50/12*'Staff Expense'!AU11</f>
        <v>22500</v>
      </c>
      <c r="AV30" s="87">
        <f ca="1">Main!$J$50/12*'Staff Expense'!AV11</f>
        <v>23125</v>
      </c>
      <c r="AW30" s="87">
        <f ca="1">Main!$J$50/12*'Staff Expense'!AW11</f>
        <v>23125</v>
      </c>
      <c r="AX30" s="87">
        <f ca="1">Main!$J$50/12*'Staff Expense'!AX11</f>
        <v>23125</v>
      </c>
      <c r="AY30" s="87">
        <f ca="1">Main!$J$50/12*'Staff Expense'!AY11</f>
        <v>23750</v>
      </c>
      <c r="AZ30" s="87">
        <f ca="1">Main!$J$50/12*'Staff Expense'!AZ11</f>
        <v>24375</v>
      </c>
      <c r="BA30" s="87">
        <f ca="1">Main!$J$50/12*'Staff Expense'!BA11</f>
        <v>24375</v>
      </c>
      <c r="BB30" s="87">
        <f ca="1">Main!$J$50/12*'Staff Expense'!BB11</f>
        <v>24375</v>
      </c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15">
      <c r="A31" s="95" t="s">
        <v>110</v>
      </c>
      <c r="C31" s="82">
        <f t="shared" ca="1" si="8"/>
        <v>42240</v>
      </c>
      <c r="D31" s="80">
        <f t="shared" ca="1" si="8"/>
        <v>182160</v>
      </c>
      <c r="E31" s="80">
        <f t="shared" ca="1" si="8"/>
        <v>322080.00000000006</v>
      </c>
      <c r="F31" s="80">
        <f t="shared" ca="1" si="8"/>
        <v>388080</v>
      </c>
      <c r="G31" s="87">
        <f>'Staff Expense'!G11*Main!$J$51*(1+Main!$J$52)</f>
        <v>2640</v>
      </c>
      <c r="H31" s="87">
        <f ca="1">'Staff Expense'!H11*Main!$J$51*(1+Main!$J$52)</f>
        <v>2640</v>
      </c>
      <c r="I31" s="87">
        <f ca="1">'Staff Expense'!I11*Main!$J$51*(1+Main!$J$52)</f>
        <v>2640</v>
      </c>
      <c r="J31" s="87">
        <f ca="1">'Staff Expense'!J11*Main!$J$51*(1+Main!$J$52)</f>
        <v>2640</v>
      </c>
      <c r="K31" s="87">
        <f ca="1">'Staff Expense'!K11*Main!$J$51*(1+Main!$J$52)</f>
        <v>2640</v>
      </c>
      <c r="L31" s="87">
        <f ca="1">'Staff Expense'!L11*Main!$J$51*(1+Main!$J$52)</f>
        <v>2640</v>
      </c>
      <c r="M31" s="87">
        <f ca="1">'Staff Expense'!M11*Main!$J$51*(1+Main!$J$52)</f>
        <v>4400</v>
      </c>
      <c r="N31" s="87">
        <f ca="1">'Staff Expense'!N11*Main!$J$51*(1+Main!$J$52)</f>
        <v>4400</v>
      </c>
      <c r="O31" s="87">
        <f ca="1">'Staff Expense'!O11*Main!$J$51*(1+Main!$J$52)</f>
        <v>4400</v>
      </c>
      <c r="P31" s="87">
        <f ca="1">'Staff Expense'!P11*Main!$J$51*(1+Main!$J$52)</f>
        <v>4400</v>
      </c>
      <c r="Q31" s="87">
        <f ca="1">'Staff Expense'!Q11*Main!$J$51*(1+Main!$J$52)</f>
        <v>4400</v>
      </c>
      <c r="R31" s="87">
        <f ca="1">'Staff Expense'!R11*Main!$J$51*(1+Main!$J$52)</f>
        <v>4400</v>
      </c>
      <c r="S31" s="87">
        <f ca="1">'Staff Expense'!S11*Main!$J$51*(1+Main!$J$52)</f>
        <v>13200.000000000002</v>
      </c>
      <c r="T31" s="87">
        <f ca="1">'Staff Expense'!T11*Main!$J$51*(1+Main!$J$52)</f>
        <v>13200.000000000002</v>
      </c>
      <c r="U31" s="87">
        <f ca="1">'Staff Expense'!U11*Main!$J$51*(1+Main!$J$52)</f>
        <v>13200.000000000002</v>
      </c>
      <c r="V31" s="87">
        <f ca="1">'Staff Expense'!V11*Main!$J$51*(1+Main!$J$52)</f>
        <v>14080.000000000002</v>
      </c>
      <c r="W31" s="87">
        <f ca="1">'Staff Expense'!W11*Main!$J$51*(1+Main!$J$52)</f>
        <v>14080.000000000002</v>
      </c>
      <c r="X31" s="87">
        <f ca="1">'Staff Expense'!X11*Main!$J$51*(1+Main!$J$52)</f>
        <v>14080.000000000002</v>
      </c>
      <c r="Y31" s="87">
        <f ca="1">'Staff Expense'!Y11*Main!$J$51*(1+Main!$J$52)</f>
        <v>15840.000000000002</v>
      </c>
      <c r="Z31" s="87">
        <f ca="1">'Staff Expense'!Z11*Main!$J$51*(1+Main!$J$52)</f>
        <v>15840.000000000002</v>
      </c>
      <c r="AA31" s="87">
        <f ca="1">'Staff Expense'!AA11*Main!$J$51*(1+Main!$J$52)</f>
        <v>15840.000000000002</v>
      </c>
      <c r="AB31" s="87">
        <f ca="1">'Staff Expense'!AB11*Main!$J$51*(1+Main!$J$52)</f>
        <v>17600</v>
      </c>
      <c r="AC31" s="87">
        <f ca="1">'Staff Expense'!AC11*Main!$J$51*(1+Main!$J$52)</f>
        <v>17600</v>
      </c>
      <c r="AD31" s="87">
        <f ca="1">'Staff Expense'!AD11*Main!$J$51*(1+Main!$J$52)</f>
        <v>17600</v>
      </c>
      <c r="AE31" s="87">
        <f ca="1">'Staff Expense'!AE11*Main!$J$51*(1+Main!$J$52)</f>
        <v>24640.000000000004</v>
      </c>
      <c r="AF31" s="87">
        <f ca="1">'Staff Expense'!AF11*Main!$J$51*(1+Main!$J$52)</f>
        <v>24640.000000000004</v>
      </c>
      <c r="AG31" s="87">
        <f ca="1">'Staff Expense'!AG11*Main!$J$51*(1+Main!$J$52)</f>
        <v>24640.000000000004</v>
      </c>
      <c r="AH31" s="87">
        <f ca="1">'Staff Expense'!AH11*Main!$J$51*(1+Main!$J$52)</f>
        <v>26400.000000000004</v>
      </c>
      <c r="AI31" s="87">
        <f ca="1">'Staff Expense'!AI11*Main!$J$51*(1+Main!$J$52)</f>
        <v>26400.000000000004</v>
      </c>
      <c r="AJ31" s="87">
        <f ca="1">'Staff Expense'!AJ11*Main!$J$51*(1+Main!$J$52)</f>
        <v>26400.000000000004</v>
      </c>
      <c r="AK31" s="87">
        <f ca="1">'Staff Expense'!AK11*Main!$J$51*(1+Main!$J$52)</f>
        <v>27280.000000000004</v>
      </c>
      <c r="AL31" s="87">
        <f ca="1">'Staff Expense'!AL11*Main!$J$51*(1+Main!$J$52)</f>
        <v>27280.000000000004</v>
      </c>
      <c r="AM31" s="87">
        <f ca="1">'Staff Expense'!AM11*Main!$J$51*(1+Main!$J$52)</f>
        <v>27280.000000000004</v>
      </c>
      <c r="AN31" s="87">
        <f ca="1">'Staff Expense'!AN11*Main!$J$51*(1+Main!$J$52)</f>
        <v>29040.000000000004</v>
      </c>
      <c r="AO31" s="87">
        <f ca="1">'Staff Expense'!AO11*Main!$J$51*(1+Main!$J$52)</f>
        <v>29040.000000000004</v>
      </c>
      <c r="AP31" s="87">
        <f ca="1">'Staff Expense'!AP11*Main!$J$51*(1+Main!$J$52)</f>
        <v>29040.000000000004</v>
      </c>
      <c r="AQ31" s="87">
        <f ca="1">'Staff Expense'!AQ11*Main!$J$51*(1+Main!$J$52)</f>
        <v>29920.000000000004</v>
      </c>
      <c r="AR31" s="87">
        <f ca="1">'Staff Expense'!AR11*Main!$J$51*(1+Main!$J$52)</f>
        <v>29920.000000000004</v>
      </c>
      <c r="AS31" s="87">
        <f ca="1">'Staff Expense'!AS11*Main!$J$51*(1+Main!$J$52)</f>
        <v>30800.000000000004</v>
      </c>
      <c r="AT31" s="87">
        <f ca="1">'Staff Expense'!AT11*Main!$J$51*(1+Main!$J$52)</f>
        <v>31680.000000000004</v>
      </c>
      <c r="AU31" s="87">
        <f ca="1">'Staff Expense'!AU11*Main!$J$51*(1+Main!$J$52)</f>
        <v>31680.000000000004</v>
      </c>
      <c r="AV31" s="87">
        <f ca="1">'Staff Expense'!AV11*Main!$J$51*(1+Main!$J$52)</f>
        <v>32560.000000000004</v>
      </c>
      <c r="AW31" s="87">
        <f ca="1">'Staff Expense'!AW11*Main!$J$51*(1+Main!$J$52)</f>
        <v>32560.000000000004</v>
      </c>
      <c r="AX31" s="87">
        <f ca="1">'Staff Expense'!AX11*Main!$J$51*(1+Main!$J$52)</f>
        <v>32560.000000000004</v>
      </c>
      <c r="AY31" s="87">
        <f ca="1">'Staff Expense'!AY11*Main!$J$51*(1+Main!$J$52)</f>
        <v>33440</v>
      </c>
      <c r="AZ31" s="87">
        <f ca="1">'Staff Expense'!AZ11*Main!$J$51*(1+Main!$J$52)</f>
        <v>34320</v>
      </c>
      <c r="BA31" s="87">
        <f ca="1">'Staff Expense'!BA11*Main!$J$51*(1+Main!$J$52)</f>
        <v>34320</v>
      </c>
      <c r="BB31" s="87">
        <f ca="1">'Staff Expense'!BB11*Main!$J$51*(1+Main!$J$52)</f>
        <v>34320</v>
      </c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15">
      <c r="A32" s="95" t="s">
        <v>114</v>
      </c>
      <c r="C32" s="82">
        <f t="shared" ca="1" si="8"/>
        <v>19855.312499999996</v>
      </c>
      <c r="D32" s="80">
        <f t="shared" ca="1" si="8"/>
        <v>84444.688124999986</v>
      </c>
      <c r="E32" s="80">
        <f t="shared" ca="1" si="8"/>
        <v>148500.34171874996</v>
      </c>
      <c r="F32" s="80">
        <f t="shared" ca="1" si="8"/>
        <v>184157.87906249997</v>
      </c>
      <c r="G32" s="87">
        <f>+Main!$J$53*'Staff Expense'!G19</f>
        <v>1320.0125</v>
      </c>
      <c r="H32" s="87">
        <f ca="1">+Main!$J$53*'Staff Expense'!H19</f>
        <v>1320.0125</v>
      </c>
      <c r="I32" s="87">
        <f ca="1">+Main!$J$53*'Staff Expense'!I19</f>
        <v>1320.0125</v>
      </c>
      <c r="J32" s="87">
        <f ca="1">+Main!$J$53*'Staff Expense'!J19</f>
        <v>1320.0125</v>
      </c>
      <c r="K32" s="87">
        <f ca="1">+Main!$J$53*'Staff Expense'!K19</f>
        <v>1320.0125</v>
      </c>
      <c r="L32" s="87">
        <f ca="1">+Main!$J$53*'Staff Expense'!L19</f>
        <v>1320.0125</v>
      </c>
      <c r="M32" s="87">
        <f ca="1">+Main!$J$53*'Staff Expense'!M19</f>
        <v>1989.20625</v>
      </c>
      <c r="N32" s="87">
        <f ca="1">+Main!$J$53*'Staff Expense'!N19</f>
        <v>1989.20625</v>
      </c>
      <c r="O32" s="87">
        <f ca="1">+Main!$J$53*'Staff Expense'!O19</f>
        <v>1989.20625</v>
      </c>
      <c r="P32" s="87">
        <f ca="1">+Main!$J$53*'Staff Expense'!P19</f>
        <v>1989.20625</v>
      </c>
      <c r="Q32" s="87">
        <f ca="1">+Main!$J$53*'Staff Expense'!Q19</f>
        <v>1989.20625</v>
      </c>
      <c r="R32" s="87">
        <f ca="1">+Main!$J$53*'Staff Expense'!R19</f>
        <v>1989.20625</v>
      </c>
      <c r="S32" s="87">
        <f ca="1">+Main!$J$53*'Staff Expense'!S19</f>
        <v>6167.0962499999996</v>
      </c>
      <c r="T32" s="87">
        <f ca="1">+Main!$J$53*'Staff Expense'!T19</f>
        <v>6167.0962499999996</v>
      </c>
      <c r="U32" s="87">
        <f ca="1">+Main!$J$53*'Staff Expense'!U19</f>
        <v>6167.0962499999996</v>
      </c>
      <c r="V32" s="87">
        <f ca="1">+Main!$J$53*'Staff Expense'!V19</f>
        <v>6567.8746874999997</v>
      </c>
      <c r="W32" s="87">
        <f ca="1">+Main!$J$53*'Staff Expense'!W19</f>
        <v>6567.8746874999997</v>
      </c>
      <c r="X32" s="87">
        <f ca="1">+Main!$J$53*'Staff Expense'!X19</f>
        <v>6567.8746874999997</v>
      </c>
      <c r="Y32" s="87">
        <f ca="1">+Main!$J$53*'Staff Expense'!Y19</f>
        <v>7411.8187499999995</v>
      </c>
      <c r="Z32" s="87">
        <f ca="1">+Main!$J$53*'Staff Expense'!Z19</f>
        <v>7411.8187499999995</v>
      </c>
      <c r="AA32" s="87">
        <f ca="1">+Main!$J$53*'Staff Expense'!AA19</f>
        <v>7411.8187499999995</v>
      </c>
      <c r="AB32" s="87">
        <f ca="1">+Main!$J$53*'Staff Expense'!AB19</f>
        <v>8001.4396874999993</v>
      </c>
      <c r="AC32" s="87">
        <f ca="1">+Main!$J$53*'Staff Expense'!AC19</f>
        <v>8001.4396874999993</v>
      </c>
      <c r="AD32" s="87">
        <f ca="1">+Main!$J$53*'Staff Expense'!AD19</f>
        <v>8001.4396874999993</v>
      </c>
      <c r="AE32" s="87">
        <f ca="1">+Main!$J$53*'Staff Expense'!AE19</f>
        <v>11278.478531249999</v>
      </c>
      <c r="AF32" s="87">
        <f ca="1">+Main!$J$53*'Staff Expense'!AF19</f>
        <v>11278.478531249999</v>
      </c>
      <c r="AG32" s="87">
        <f ca="1">+Main!$J$53*'Staff Expense'!AG19</f>
        <v>11278.478531249999</v>
      </c>
      <c r="AH32" s="87">
        <f ca="1">+Main!$J$53*'Staff Expense'!AH19</f>
        <v>12164.619796874998</v>
      </c>
      <c r="AI32" s="87">
        <f ca="1">+Main!$J$53*'Staff Expense'!AI19</f>
        <v>12164.619796874998</v>
      </c>
      <c r="AJ32" s="87">
        <f ca="1">+Main!$J$53*'Staff Expense'!AJ19</f>
        <v>12164.619796874998</v>
      </c>
      <c r="AK32" s="87">
        <f ca="1">+Main!$J$53*'Staff Expense'!AK19</f>
        <v>12585.43715625</v>
      </c>
      <c r="AL32" s="87">
        <f ca="1">+Main!$J$53*'Staff Expense'!AL19</f>
        <v>12585.43715625</v>
      </c>
      <c r="AM32" s="87">
        <f ca="1">+Main!$J$53*'Staff Expense'!AM19</f>
        <v>12585.43715625</v>
      </c>
      <c r="AN32" s="87">
        <f ca="1">+Main!$J$53*'Staff Expense'!AN19</f>
        <v>13471.578421874998</v>
      </c>
      <c r="AO32" s="87">
        <f ca="1">+Main!$J$53*'Staff Expense'!AO19</f>
        <v>13471.578421874998</v>
      </c>
      <c r="AP32" s="87">
        <f ca="1">+Main!$J$53*'Staff Expense'!AP19</f>
        <v>13471.578421874998</v>
      </c>
      <c r="AQ32" s="87">
        <f ca="1">+Main!$J$53*'Staff Expense'!AQ19</f>
        <v>14306.624325000001</v>
      </c>
      <c r="AR32" s="87">
        <f ca="1">+Main!$J$53*'Staff Expense'!AR19</f>
        <v>14306.624325000001</v>
      </c>
      <c r="AS32" s="87">
        <f ca="1">+Main!$J$53*'Staff Expense'!AS19</f>
        <v>14795.214426562501</v>
      </c>
      <c r="AT32" s="87">
        <f ca="1">+Main!$J$53*'Staff Expense'!AT19</f>
        <v>15003.4132828125</v>
      </c>
      <c r="AU32" s="87">
        <f ca="1">+Main!$J$53*'Staff Expense'!AU19</f>
        <v>15003.4132828125</v>
      </c>
      <c r="AV32" s="87">
        <f ca="1">+Main!$J$53*'Staff Expense'!AV19</f>
        <v>15492.003384375001</v>
      </c>
      <c r="AW32" s="87">
        <f ca="1">+Main!$J$53*'Staff Expense'!AW19</f>
        <v>15492.003384375001</v>
      </c>
      <c r="AX32" s="87">
        <f ca="1">+Main!$J$53*'Staff Expense'!AX19</f>
        <v>15492.003384375001</v>
      </c>
      <c r="AY32" s="87">
        <f ca="1">+Main!$J$53*'Staff Expense'!AY19</f>
        <v>15700.202240625002</v>
      </c>
      <c r="AZ32" s="87">
        <f ca="1">+Main!$J$53*'Staff Expense'!AZ19</f>
        <v>16188.792342187498</v>
      </c>
      <c r="BA32" s="87">
        <f ca="1">+Main!$J$53*'Staff Expense'!BA19</f>
        <v>16188.792342187498</v>
      </c>
      <c r="BB32" s="87">
        <f ca="1">+Main!$J$53*'Staff Expense'!BB19</f>
        <v>16188.792342187498</v>
      </c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15">
      <c r="A33" s="95" t="s">
        <v>116</v>
      </c>
      <c r="C33" s="82">
        <f t="shared" si="8"/>
        <v>24999.999999999996</v>
      </c>
      <c r="D33" s="80">
        <f t="shared" si="8"/>
        <v>49999.999999999993</v>
      </c>
      <c r="E33" s="80">
        <f t="shared" si="8"/>
        <v>49999.999999999993</v>
      </c>
      <c r="F33" s="80">
        <f t="shared" si="8"/>
        <v>49999.999999999993</v>
      </c>
      <c r="G33" s="80">
        <f>INDEX(Main!$J$65:$M$65,G$2-YEAR(Main!$H$2)+1)/12</f>
        <v>2083.3333333333335</v>
      </c>
      <c r="H33" s="80">
        <f>INDEX(Main!$J$65:$M$65,H$2-YEAR(Main!$H$2)+1)/12</f>
        <v>2083.3333333333335</v>
      </c>
      <c r="I33" s="80">
        <f>INDEX(Main!$J$65:$M$65,I$2-YEAR(Main!$H$2)+1)/12</f>
        <v>2083.3333333333335</v>
      </c>
      <c r="J33" s="80">
        <f>INDEX(Main!$J$65:$M$65,J$2-YEAR(Main!$H$2)+1)/12</f>
        <v>2083.3333333333335</v>
      </c>
      <c r="K33" s="80">
        <f>INDEX(Main!$J$65:$M$65,K$2-YEAR(Main!$H$2)+1)/12</f>
        <v>2083.3333333333335</v>
      </c>
      <c r="L33" s="80">
        <f>INDEX(Main!$J$65:$M$65,L$2-YEAR(Main!$H$2)+1)/12</f>
        <v>2083.3333333333335</v>
      </c>
      <c r="M33" s="80">
        <f>INDEX(Main!$J$65:$M$65,M$2-YEAR(Main!$H$2)+1)/12</f>
        <v>2083.3333333333335</v>
      </c>
      <c r="N33" s="80">
        <f>INDEX(Main!$J$65:$M$65,N$2-YEAR(Main!$H$2)+1)/12</f>
        <v>2083.3333333333335</v>
      </c>
      <c r="O33" s="80">
        <f>INDEX(Main!$J$65:$M$65,O$2-YEAR(Main!$H$2)+1)/12</f>
        <v>2083.3333333333335</v>
      </c>
      <c r="P33" s="80">
        <f>INDEX(Main!$J$65:$M$65,P$2-YEAR(Main!$H$2)+1)/12</f>
        <v>2083.3333333333335</v>
      </c>
      <c r="Q33" s="80">
        <f>INDEX(Main!$J$65:$M$65,Q$2-YEAR(Main!$H$2)+1)/12</f>
        <v>2083.3333333333335</v>
      </c>
      <c r="R33" s="80">
        <f>INDEX(Main!$J$65:$M$65,R$2-YEAR(Main!$H$2)+1)/12</f>
        <v>2083.3333333333335</v>
      </c>
      <c r="S33" s="80">
        <f>INDEX(Main!$J$65:$M$65,S$2-YEAR(Main!$H$2)+1)/12</f>
        <v>4166.666666666667</v>
      </c>
      <c r="T33" s="80">
        <f>INDEX(Main!$J$65:$M$65,T$2-YEAR(Main!$H$2)+1)/12</f>
        <v>4166.666666666667</v>
      </c>
      <c r="U33" s="80">
        <f>INDEX(Main!$J$65:$M$65,U$2-YEAR(Main!$H$2)+1)/12</f>
        <v>4166.666666666667</v>
      </c>
      <c r="V33" s="80">
        <f>INDEX(Main!$J$65:$M$65,V$2-YEAR(Main!$H$2)+1)/12</f>
        <v>4166.666666666667</v>
      </c>
      <c r="W33" s="80">
        <f>INDEX(Main!$J$65:$M$65,W$2-YEAR(Main!$H$2)+1)/12</f>
        <v>4166.666666666667</v>
      </c>
      <c r="X33" s="80">
        <f>INDEX(Main!$J$65:$M$65,X$2-YEAR(Main!$H$2)+1)/12</f>
        <v>4166.666666666667</v>
      </c>
      <c r="Y33" s="80">
        <f>INDEX(Main!$J$65:$M$65,Y$2-YEAR(Main!$H$2)+1)/12</f>
        <v>4166.666666666667</v>
      </c>
      <c r="Z33" s="80">
        <f>INDEX(Main!$J$65:$M$65,Z$2-YEAR(Main!$H$2)+1)/12</f>
        <v>4166.666666666667</v>
      </c>
      <c r="AA33" s="80">
        <f>INDEX(Main!$J$65:$M$65,AA$2-YEAR(Main!$H$2)+1)/12</f>
        <v>4166.666666666667</v>
      </c>
      <c r="AB33" s="80">
        <f>INDEX(Main!$J$65:$M$65,AB$2-YEAR(Main!$H$2)+1)/12</f>
        <v>4166.666666666667</v>
      </c>
      <c r="AC33" s="80">
        <f>INDEX(Main!$J$65:$M$65,AC$2-YEAR(Main!$H$2)+1)/12</f>
        <v>4166.666666666667</v>
      </c>
      <c r="AD33" s="80">
        <f>INDEX(Main!$J$65:$M$65,AD$2-YEAR(Main!$H$2)+1)/12</f>
        <v>4166.666666666667</v>
      </c>
      <c r="AE33" s="80">
        <f>INDEX(Main!$J$65:$M$65,AE$2-YEAR(Main!$H$2)+1)/12</f>
        <v>4166.666666666667</v>
      </c>
      <c r="AF33" s="80">
        <f>INDEX(Main!$J$65:$M$65,AF$2-YEAR(Main!$H$2)+1)/12</f>
        <v>4166.666666666667</v>
      </c>
      <c r="AG33" s="80">
        <f>INDEX(Main!$J$65:$M$65,AG$2-YEAR(Main!$H$2)+1)/12</f>
        <v>4166.666666666667</v>
      </c>
      <c r="AH33" s="80">
        <f>INDEX(Main!$J$65:$M$65,AH$2-YEAR(Main!$H$2)+1)/12</f>
        <v>4166.666666666667</v>
      </c>
      <c r="AI33" s="80">
        <f>INDEX(Main!$J$65:$M$65,AI$2-YEAR(Main!$H$2)+1)/12</f>
        <v>4166.666666666667</v>
      </c>
      <c r="AJ33" s="80">
        <f>INDEX(Main!$J$65:$M$65,AJ$2-YEAR(Main!$H$2)+1)/12</f>
        <v>4166.666666666667</v>
      </c>
      <c r="AK33" s="80">
        <f>INDEX(Main!$J$65:$M$65,AK$2-YEAR(Main!$H$2)+1)/12</f>
        <v>4166.666666666667</v>
      </c>
      <c r="AL33" s="80">
        <f>INDEX(Main!$J$65:$M$65,AL$2-YEAR(Main!$H$2)+1)/12</f>
        <v>4166.666666666667</v>
      </c>
      <c r="AM33" s="80">
        <f>INDEX(Main!$J$65:$M$65,AM$2-YEAR(Main!$H$2)+1)/12</f>
        <v>4166.666666666667</v>
      </c>
      <c r="AN33" s="80">
        <f>INDEX(Main!$J$65:$M$65,AN$2-YEAR(Main!$H$2)+1)/12</f>
        <v>4166.666666666667</v>
      </c>
      <c r="AO33" s="80">
        <f>INDEX(Main!$J$65:$M$65,AO$2-YEAR(Main!$H$2)+1)/12</f>
        <v>4166.666666666667</v>
      </c>
      <c r="AP33" s="80">
        <f>INDEX(Main!$J$65:$M$65,AP$2-YEAR(Main!$H$2)+1)/12</f>
        <v>4166.666666666667</v>
      </c>
      <c r="AQ33" s="80">
        <f>INDEX(Main!$J$65:$M$65,AQ$2-YEAR(Main!$H$2)+1)/12</f>
        <v>4166.666666666667</v>
      </c>
      <c r="AR33" s="80">
        <f>INDEX(Main!$J$65:$M$65,AR$2-YEAR(Main!$H$2)+1)/12</f>
        <v>4166.666666666667</v>
      </c>
      <c r="AS33" s="80">
        <f>INDEX(Main!$J$65:$M$65,AS$2-YEAR(Main!$H$2)+1)/12</f>
        <v>4166.666666666667</v>
      </c>
      <c r="AT33" s="80">
        <f>INDEX(Main!$J$65:$M$65,AT$2-YEAR(Main!$H$2)+1)/12</f>
        <v>4166.666666666667</v>
      </c>
      <c r="AU33" s="80">
        <f>INDEX(Main!$J$65:$M$65,AU$2-YEAR(Main!$H$2)+1)/12</f>
        <v>4166.666666666667</v>
      </c>
      <c r="AV33" s="80">
        <f>INDEX(Main!$J$65:$M$65,AV$2-YEAR(Main!$H$2)+1)/12</f>
        <v>4166.666666666667</v>
      </c>
      <c r="AW33" s="80">
        <f>INDEX(Main!$J$65:$M$65,AW$2-YEAR(Main!$H$2)+1)/12</f>
        <v>4166.666666666667</v>
      </c>
      <c r="AX33" s="80">
        <f>INDEX(Main!$J$65:$M$65,AX$2-YEAR(Main!$H$2)+1)/12</f>
        <v>4166.666666666667</v>
      </c>
      <c r="AY33" s="80">
        <f>INDEX(Main!$J$65:$M$65,AY$2-YEAR(Main!$H$2)+1)/12</f>
        <v>4166.666666666667</v>
      </c>
      <c r="AZ33" s="80">
        <f>INDEX(Main!$J$65:$M$65,AZ$2-YEAR(Main!$H$2)+1)/12</f>
        <v>4166.666666666667</v>
      </c>
      <c r="BA33" s="80">
        <f>INDEX(Main!$J$65:$M$65,BA$2-YEAR(Main!$H$2)+1)/12</f>
        <v>4166.666666666667</v>
      </c>
      <c r="BB33" s="80">
        <f>INDEX(Main!$J$65:$M$65,BB$2-YEAR(Main!$H$2)+1)/12</f>
        <v>4166.666666666667</v>
      </c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15">
      <c r="A34" s="95" t="s">
        <v>117</v>
      </c>
      <c r="C34" s="82">
        <f t="shared" si="8"/>
        <v>24999.999999999996</v>
      </c>
      <c r="D34" s="80">
        <f t="shared" si="8"/>
        <v>75000</v>
      </c>
      <c r="E34" s="80">
        <f t="shared" si="8"/>
        <v>99999.999999999985</v>
      </c>
      <c r="F34" s="80">
        <f t="shared" si="8"/>
        <v>99999.999999999985</v>
      </c>
      <c r="G34" s="80">
        <f>INDEX(Main!$J$66:$M$66,G$2-YEAR(Main!$H$2)+1)/12</f>
        <v>2083.3333333333335</v>
      </c>
      <c r="H34" s="80">
        <f>INDEX(Main!$J$66:$M$66,H$2-YEAR(Main!$H$2)+1)/12</f>
        <v>2083.3333333333335</v>
      </c>
      <c r="I34" s="80">
        <f>INDEX(Main!$J$66:$M$66,I$2-YEAR(Main!$H$2)+1)/12</f>
        <v>2083.3333333333335</v>
      </c>
      <c r="J34" s="80">
        <f>INDEX(Main!$J$66:$M$66,J$2-YEAR(Main!$H$2)+1)/12</f>
        <v>2083.3333333333335</v>
      </c>
      <c r="K34" s="80">
        <f>INDEX(Main!$J$66:$M$66,K$2-YEAR(Main!$H$2)+1)/12</f>
        <v>2083.3333333333335</v>
      </c>
      <c r="L34" s="80">
        <f>INDEX(Main!$J$66:$M$66,L$2-YEAR(Main!$H$2)+1)/12</f>
        <v>2083.3333333333335</v>
      </c>
      <c r="M34" s="80">
        <f>INDEX(Main!$J$66:$M$66,M$2-YEAR(Main!$H$2)+1)/12</f>
        <v>2083.3333333333335</v>
      </c>
      <c r="N34" s="80">
        <f>INDEX(Main!$J$66:$M$66,N$2-YEAR(Main!$H$2)+1)/12</f>
        <v>2083.3333333333335</v>
      </c>
      <c r="O34" s="80">
        <f>INDEX(Main!$J$66:$M$66,O$2-YEAR(Main!$H$2)+1)/12</f>
        <v>2083.3333333333335</v>
      </c>
      <c r="P34" s="80">
        <f>INDEX(Main!$J$66:$M$66,P$2-YEAR(Main!$H$2)+1)/12</f>
        <v>2083.3333333333335</v>
      </c>
      <c r="Q34" s="80">
        <f>INDEX(Main!$J$66:$M$66,Q$2-YEAR(Main!$H$2)+1)/12</f>
        <v>2083.3333333333335</v>
      </c>
      <c r="R34" s="80">
        <f>INDEX(Main!$J$66:$M$66,R$2-YEAR(Main!$H$2)+1)/12</f>
        <v>2083.3333333333335</v>
      </c>
      <c r="S34" s="80">
        <f>INDEX(Main!$J$66:$M$66,S$2-YEAR(Main!$H$2)+1)/12</f>
        <v>6250</v>
      </c>
      <c r="T34" s="80">
        <f>INDEX(Main!$J$66:$M$66,T$2-YEAR(Main!$H$2)+1)/12</f>
        <v>6250</v>
      </c>
      <c r="U34" s="80">
        <f>INDEX(Main!$J$66:$M$66,U$2-YEAR(Main!$H$2)+1)/12</f>
        <v>6250</v>
      </c>
      <c r="V34" s="80">
        <f>INDEX(Main!$J$66:$M$66,V$2-YEAR(Main!$H$2)+1)/12</f>
        <v>6250</v>
      </c>
      <c r="W34" s="80">
        <f>INDEX(Main!$J$66:$M$66,W$2-YEAR(Main!$H$2)+1)/12</f>
        <v>6250</v>
      </c>
      <c r="X34" s="80">
        <f>INDEX(Main!$J$66:$M$66,X$2-YEAR(Main!$H$2)+1)/12</f>
        <v>6250</v>
      </c>
      <c r="Y34" s="80">
        <f>INDEX(Main!$J$66:$M$66,Y$2-YEAR(Main!$H$2)+1)/12</f>
        <v>6250</v>
      </c>
      <c r="Z34" s="80">
        <f>INDEX(Main!$J$66:$M$66,Z$2-YEAR(Main!$H$2)+1)/12</f>
        <v>6250</v>
      </c>
      <c r="AA34" s="80">
        <f>INDEX(Main!$J$66:$M$66,AA$2-YEAR(Main!$H$2)+1)/12</f>
        <v>6250</v>
      </c>
      <c r="AB34" s="80">
        <f>INDEX(Main!$J$66:$M$66,AB$2-YEAR(Main!$H$2)+1)/12</f>
        <v>6250</v>
      </c>
      <c r="AC34" s="80">
        <f>INDEX(Main!$J$66:$M$66,AC$2-YEAR(Main!$H$2)+1)/12</f>
        <v>6250</v>
      </c>
      <c r="AD34" s="80">
        <f>INDEX(Main!$J$66:$M$66,AD$2-YEAR(Main!$H$2)+1)/12</f>
        <v>6250</v>
      </c>
      <c r="AE34" s="80">
        <f>INDEX(Main!$J$66:$M$66,AE$2-YEAR(Main!$H$2)+1)/12</f>
        <v>8333.3333333333339</v>
      </c>
      <c r="AF34" s="80">
        <f>INDEX(Main!$J$66:$M$66,AF$2-YEAR(Main!$H$2)+1)/12</f>
        <v>8333.3333333333339</v>
      </c>
      <c r="AG34" s="80">
        <f>INDEX(Main!$J$66:$M$66,AG$2-YEAR(Main!$H$2)+1)/12</f>
        <v>8333.3333333333339</v>
      </c>
      <c r="AH34" s="80">
        <f>INDEX(Main!$J$66:$M$66,AH$2-YEAR(Main!$H$2)+1)/12</f>
        <v>8333.3333333333339</v>
      </c>
      <c r="AI34" s="80">
        <f>INDEX(Main!$J$66:$M$66,AI$2-YEAR(Main!$H$2)+1)/12</f>
        <v>8333.3333333333339</v>
      </c>
      <c r="AJ34" s="80">
        <f>INDEX(Main!$J$66:$M$66,AJ$2-YEAR(Main!$H$2)+1)/12</f>
        <v>8333.3333333333339</v>
      </c>
      <c r="AK34" s="80">
        <f>INDEX(Main!$J$66:$M$66,AK$2-YEAR(Main!$H$2)+1)/12</f>
        <v>8333.3333333333339</v>
      </c>
      <c r="AL34" s="80">
        <f>INDEX(Main!$J$66:$M$66,AL$2-YEAR(Main!$H$2)+1)/12</f>
        <v>8333.3333333333339</v>
      </c>
      <c r="AM34" s="80">
        <f>INDEX(Main!$J$66:$M$66,AM$2-YEAR(Main!$H$2)+1)/12</f>
        <v>8333.3333333333339</v>
      </c>
      <c r="AN34" s="80">
        <f>INDEX(Main!$J$66:$M$66,AN$2-YEAR(Main!$H$2)+1)/12</f>
        <v>8333.3333333333339</v>
      </c>
      <c r="AO34" s="80">
        <f>INDEX(Main!$J$66:$M$66,AO$2-YEAR(Main!$H$2)+1)/12</f>
        <v>8333.3333333333339</v>
      </c>
      <c r="AP34" s="80">
        <f>INDEX(Main!$J$66:$M$66,AP$2-YEAR(Main!$H$2)+1)/12</f>
        <v>8333.3333333333339</v>
      </c>
      <c r="AQ34" s="80">
        <f>INDEX(Main!$J$66:$M$66,AQ$2-YEAR(Main!$H$2)+1)/12</f>
        <v>8333.3333333333339</v>
      </c>
      <c r="AR34" s="80">
        <f>INDEX(Main!$J$66:$M$66,AR$2-YEAR(Main!$H$2)+1)/12</f>
        <v>8333.3333333333339</v>
      </c>
      <c r="AS34" s="80">
        <f>INDEX(Main!$J$66:$M$66,AS$2-YEAR(Main!$H$2)+1)/12</f>
        <v>8333.3333333333339</v>
      </c>
      <c r="AT34" s="80">
        <f>INDEX(Main!$J$66:$M$66,AT$2-YEAR(Main!$H$2)+1)/12</f>
        <v>8333.3333333333339</v>
      </c>
      <c r="AU34" s="80">
        <f>INDEX(Main!$J$66:$M$66,AU$2-YEAR(Main!$H$2)+1)/12</f>
        <v>8333.3333333333339</v>
      </c>
      <c r="AV34" s="80">
        <f>INDEX(Main!$J$66:$M$66,AV$2-YEAR(Main!$H$2)+1)/12</f>
        <v>8333.3333333333339</v>
      </c>
      <c r="AW34" s="80">
        <f>INDEX(Main!$J$66:$M$66,AW$2-YEAR(Main!$H$2)+1)/12</f>
        <v>8333.3333333333339</v>
      </c>
      <c r="AX34" s="80">
        <f>INDEX(Main!$J$66:$M$66,AX$2-YEAR(Main!$H$2)+1)/12</f>
        <v>8333.3333333333339</v>
      </c>
      <c r="AY34" s="80">
        <f>INDEX(Main!$J$66:$M$66,AY$2-YEAR(Main!$H$2)+1)/12</f>
        <v>8333.3333333333339</v>
      </c>
      <c r="AZ34" s="80">
        <f>INDEX(Main!$J$66:$M$66,AZ$2-YEAR(Main!$H$2)+1)/12</f>
        <v>8333.3333333333339</v>
      </c>
      <c r="BA34" s="80">
        <f>INDEX(Main!$J$66:$M$66,BA$2-YEAR(Main!$H$2)+1)/12</f>
        <v>8333.3333333333339</v>
      </c>
      <c r="BB34" s="80">
        <f>INDEX(Main!$J$66:$M$66,BB$2-YEAR(Main!$H$2)+1)/12</f>
        <v>8333.3333333333339</v>
      </c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15">
      <c r="A35" s="95" t="s">
        <v>122</v>
      </c>
      <c r="C35" s="82">
        <f t="shared" ca="1" si="8"/>
        <v>5000</v>
      </c>
      <c r="D35" s="80">
        <f t="shared" ca="1" si="8"/>
        <v>5882.0445297464757</v>
      </c>
      <c r="E35" s="80">
        <f t="shared" ca="1" si="8"/>
        <v>15848.226240119895</v>
      </c>
      <c r="F35" s="80">
        <f t="shared" ca="1" si="8"/>
        <v>48739.989912412413</v>
      </c>
      <c r="G35" s="80">
        <f ca="1">MAX(Main!$J$54*IS!G9,Main!$L$54/12)</f>
        <v>416.66666666666669</v>
      </c>
      <c r="H35" s="80">
        <f ca="1">MAX(Main!$J$54*IS!H9,Main!$L$54/12)</f>
        <v>416.66666666666669</v>
      </c>
      <c r="I35" s="80">
        <f ca="1">MAX(Main!$J$54*IS!I9,Main!$L$54/12)</f>
        <v>416.66666666666669</v>
      </c>
      <c r="J35" s="80">
        <f ca="1">MAX(Main!$J$54*IS!J9,Main!$L$54/12)</f>
        <v>416.66666666666669</v>
      </c>
      <c r="K35" s="80">
        <f ca="1">MAX(Main!$J$54*IS!K9,Main!$L$54/12)</f>
        <v>416.66666666666669</v>
      </c>
      <c r="L35" s="80">
        <f ca="1">MAX(Main!$J$54*IS!L9,Main!$L$54/12)</f>
        <v>416.66666666666669</v>
      </c>
      <c r="M35" s="80">
        <f ca="1">MAX(Main!$J$54*IS!M9,Main!$L$54/12)</f>
        <v>416.66666666666669</v>
      </c>
      <c r="N35" s="80">
        <f ca="1">MAX(Main!$J$54*IS!N9,Main!$L$54/12)</f>
        <v>416.66666666666669</v>
      </c>
      <c r="O35" s="80">
        <f ca="1">MAX(Main!$J$54*IS!O9,Main!$L$54/12)</f>
        <v>416.66666666666669</v>
      </c>
      <c r="P35" s="80">
        <f ca="1">MAX(Main!$J$54*IS!P9,Main!$L$54/12)</f>
        <v>416.66666666666669</v>
      </c>
      <c r="Q35" s="80">
        <f ca="1">MAX(Main!$J$54*IS!Q9,Main!$L$54/12)</f>
        <v>416.66666666666669</v>
      </c>
      <c r="R35" s="80">
        <f ca="1">MAX(Main!$J$54*IS!R9,Main!$L$54/12)</f>
        <v>416.66666666666669</v>
      </c>
      <c r="S35" s="80">
        <f ca="1">MAX(Main!$J$54*IS!S9,Main!$L$54/12)</f>
        <v>416.66666666666669</v>
      </c>
      <c r="T35" s="80">
        <f ca="1">MAX(Main!$J$54*IS!T9,Main!$L$54/12)</f>
        <v>416.66666666666669</v>
      </c>
      <c r="U35" s="80">
        <f ca="1">MAX(Main!$J$54*IS!U9,Main!$L$54/12)</f>
        <v>416.66666666666669</v>
      </c>
      <c r="V35" s="80">
        <f ca="1">MAX(Main!$J$54*IS!V9,Main!$L$54/12)</f>
        <v>416.66666666666669</v>
      </c>
      <c r="W35" s="80">
        <f ca="1">MAX(Main!$J$54*IS!W9,Main!$L$54/12)</f>
        <v>431.04426000091416</v>
      </c>
      <c r="X35" s="80">
        <f ca="1">MAX(Main!$J$54*IS!X9,Main!$L$54/12)</f>
        <v>456.19767701113392</v>
      </c>
      <c r="Y35" s="80">
        <f ca="1">MAX(Main!$J$54*IS!Y9,Main!$L$54/12)</f>
        <v>484.43421886180084</v>
      </c>
      <c r="Z35" s="80">
        <f ca="1">MAX(Main!$J$54*IS!Z9,Main!$L$54/12)</f>
        <v>514.99416284880169</v>
      </c>
      <c r="AA35" s="80">
        <f ca="1">MAX(Main!$J$54*IS!AA9,Main!$L$54/12)</f>
        <v>547.3796290446611</v>
      </c>
      <c r="AB35" s="80">
        <f ca="1">MAX(Main!$J$54*IS!AB9,Main!$L$54/12)</f>
        <v>572.89907562176427</v>
      </c>
      <c r="AC35" s="80">
        <f ca="1">MAX(Main!$J$54*IS!AC9,Main!$L$54/12)</f>
        <v>594.53779445799228</v>
      </c>
      <c r="AD35" s="80">
        <f ca="1">MAX(Main!$J$54*IS!AD9,Main!$L$54/12)</f>
        <v>613.89104523274045</v>
      </c>
      <c r="AE35" s="80">
        <f ca="1">MAX(Main!$J$54*IS!AE9,Main!$L$54/12)</f>
        <v>810.71331607731372</v>
      </c>
      <c r="AF35" s="80">
        <f ca="1">MAX(Main!$J$54*IS!AF9,Main!$L$54/12)</f>
        <v>958.24419701404884</v>
      </c>
      <c r="AG35" s="80">
        <f ca="1">MAX(Main!$J$54*IS!AG9,Main!$L$54/12)</f>
        <v>1070.6206204882471</v>
      </c>
      <c r="AH35" s="80">
        <f ca="1">MAX(Main!$J$54*IS!AH9,Main!$L$54/12)</f>
        <v>1158.0148181475952</v>
      </c>
      <c r="AI35" s="80">
        <f ca="1">MAX(Main!$J$54*IS!AI9,Main!$L$54/12)</f>
        <v>1227.7568950735567</v>
      </c>
      <c r="AJ35" s="80">
        <f ca="1">MAX(Main!$J$54*IS!AJ9,Main!$L$54/12)</f>
        <v>1285.1276889197973</v>
      </c>
      <c r="AK35" s="80">
        <f ca="1">MAX(Main!$J$54*IS!AK9,Main!$L$54/12)</f>
        <v>1370.0751153731105</v>
      </c>
      <c r="AL35" s="80">
        <f ca="1">MAX(Main!$J$54*IS!AL9,Main!$L$54/12)</f>
        <v>1439.265216514578</v>
      </c>
      <c r="AM35" s="80">
        <f ca="1">MAX(Main!$J$54*IS!AM9,Main!$L$54/12)</f>
        <v>1497.4836940007783</v>
      </c>
      <c r="AN35" s="80">
        <f ca="1">MAX(Main!$J$54*IS!AN9,Main!$L$54/12)</f>
        <v>1592.6733775054315</v>
      </c>
      <c r="AO35" s="80">
        <f ca="1">MAX(Main!$J$54*IS!AO9,Main!$L$54/12)</f>
        <v>1678.9523650257258</v>
      </c>
      <c r="AP35" s="80">
        <f ca="1">MAX(Main!$J$54*IS!AP9,Main!$L$54/12)</f>
        <v>1759.298935979712</v>
      </c>
      <c r="AQ35" s="80">
        <f ca="1">MAX(Main!$J$54*IS!AQ9,Main!$L$54/12)</f>
        <v>2330.9948495521749</v>
      </c>
      <c r="AR35" s="80">
        <f ca="1">MAX(Main!$J$54*IS!AR9,Main!$L$54/12)</f>
        <v>2797.3976560921851</v>
      </c>
      <c r="AS35" s="80">
        <f ca="1">MAX(Main!$J$54*IS!AS9,Main!$L$54/12)</f>
        <v>3182.6617794706131</v>
      </c>
      <c r="AT35" s="80">
        <f ca="1">MAX(Main!$J$54*IS!AT9,Main!$L$54/12)</f>
        <v>3514.0162010048321</v>
      </c>
      <c r="AU35" s="80">
        <f ca="1">MAX(Main!$J$54*IS!AU9,Main!$L$54/12)</f>
        <v>3804.7825418391562</v>
      </c>
      <c r="AV35" s="80">
        <f ca="1">MAX(Main!$J$54*IS!AV9,Main!$L$54/12)</f>
        <v>4065.0045629519664</v>
      </c>
      <c r="AW35" s="80">
        <f ca="1">MAX(Main!$J$54*IS!AW9,Main!$L$54/12)</f>
        <v>4302.5440777069452</v>
      </c>
      <c r="AX35" s="80">
        <f ca="1">MAX(Main!$J$54*IS!AX9,Main!$L$54/12)</f>
        <v>4524.2654056728816</v>
      </c>
      <c r="AY35" s="80">
        <f ca="1">MAX(Main!$J$54*IS!AY9,Main!$L$54/12)</f>
        <v>4734.7994792192067</v>
      </c>
      <c r="AZ35" s="80">
        <f ca="1">MAX(Main!$J$54*IS!AZ9,Main!$L$54/12)</f>
        <v>4946.1538111504724</v>
      </c>
      <c r="BA35" s="80">
        <f ca="1">MAX(Main!$J$54*IS!BA9,Main!$L$54/12)</f>
        <v>5160.0939342394795</v>
      </c>
      <c r="BB35" s="80">
        <f ca="1">MAX(Main!$J$54*IS!BB9,Main!$L$54/12)</f>
        <v>5377.2756135125037</v>
      </c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15">
      <c r="A36" s="95" t="s">
        <v>120</v>
      </c>
      <c r="C36" s="82">
        <f t="shared" si="8"/>
        <v>0</v>
      </c>
      <c r="D36" s="80">
        <f t="shared" si="8"/>
        <v>0</v>
      </c>
      <c r="E36" s="80">
        <f t="shared" si="8"/>
        <v>0</v>
      </c>
      <c r="F36" s="80">
        <f t="shared" si="8"/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O36" s="295">
        <v>0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5">
        <v>0</v>
      </c>
      <c r="Y36" s="295">
        <v>0</v>
      </c>
      <c r="Z36" s="295">
        <v>0</v>
      </c>
      <c r="AA36" s="295">
        <v>0</v>
      </c>
      <c r="AB36" s="295">
        <v>0</v>
      </c>
      <c r="AC36" s="295">
        <v>0</v>
      </c>
      <c r="AD36" s="295">
        <v>0</v>
      </c>
      <c r="AE36" s="295">
        <v>0</v>
      </c>
      <c r="AF36" s="295">
        <v>0</v>
      </c>
      <c r="AG36" s="295">
        <v>0</v>
      </c>
      <c r="AH36" s="295">
        <v>0</v>
      </c>
      <c r="AI36" s="295">
        <v>0</v>
      </c>
      <c r="AJ36" s="295">
        <v>0</v>
      </c>
      <c r="AK36" s="295">
        <v>0</v>
      </c>
      <c r="AL36" s="295">
        <v>0</v>
      </c>
      <c r="AM36" s="295">
        <v>0</v>
      </c>
      <c r="AN36" s="295">
        <v>0</v>
      </c>
      <c r="AO36" s="295">
        <v>0</v>
      </c>
      <c r="AP36" s="295">
        <v>0</v>
      </c>
      <c r="AQ36" s="295">
        <v>0</v>
      </c>
      <c r="AR36" s="295">
        <v>0</v>
      </c>
      <c r="AS36" s="295">
        <v>0</v>
      </c>
      <c r="AT36" s="295">
        <v>0</v>
      </c>
      <c r="AU36" s="295">
        <v>0</v>
      </c>
      <c r="AV36" s="295">
        <v>0</v>
      </c>
      <c r="AW36" s="295">
        <v>0</v>
      </c>
      <c r="AX36" s="295">
        <v>0</v>
      </c>
      <c r="AY36" s="295">
        <v>0</v>
      </c>
      <c r="AZ36" s="295">
        <v>0</v>
      </c>
      <c r="BA36" s="295">
        <v>0</v>
      </c>
      <c r="BB36" s="295">
        <v>0</v>
      </c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s="284" customFormat="1" x14ac:dyDescent="0.15">
      <c r="A37" s="279" t="s">
        <v>121</v>
      </c>
      <c r="B37" s="280"/>
      <c r="C37" s="281">
        <f t="shared" ca="1" si="8"/>
        <v>427245.31250000012</v>
      </c>
      <c r="D37" s="282">
        <f t="shared" ca="1" si="8"/>
        <v>2014877.1076547466</v>
      </c>
      <c r="E37" s="282">
        <f t="shared" ca="1" si="8"/>
        <v>3410054.5117088701</v>
      </c>
      <c r="F37" s="282">
        <f t="shared" ca="1" si="8"/>
        <v>3718722.6099124127</v>
      </c>
      <c r="G37" s="81">
        <f ca="1">SUM(G29:G36)</f>
        <v>28972.512500000001</v>
      </c>
      <c r="H37" s="81">
        <f t="shared" ref="H37:BB37" ca="1" si="11">SUM(H29:H36)</f>
        <v>28972.512500000001</v>
      </c>
      <c r="I37" s="81">
        <f t="shared" ca="1" si="11"/>
        <v>28972.512500000001</v>
      </c>
      <c r="J37" s="81">
        <f t="shared" ca="1" si="11"/>
        <v>28972.512500000001</v>
      </c>
      <c r="K37" s="81">
        <f t="shared" ca="1" si="11"/>
        <v>28972.512500000001</v>
      </c>
      <c r="L37" s="81">
        <f t="shared" ca="1" si="11"/>
        <v>28972.512500000001</v>
      </c>
      <c r="M37" s="81">
        <f t="shared" ca="1" si="11"/>
        <v>42235.039583333339</v>
      </c>
      <c r="N37" s="81">
        <f t="shared" ca="1" si="11"/>
        <v>42235.039583333339</v>
      </c>
      <c r="O37" s="81">
        <f t="shared" ca="1" si="11"/>
        <v>42235.039583333339</v>
      </c>
      <c r="P37" s="81">
        <f t="shared" ca="1" si="11"/>
        <v>42235.039583333339</v>
      </c>
      <c r="Q37" s="81">
        <f t="shared" ca="1" si="11"/>
        <v>42235.039583333339</v>
      </c>
      <c r="R37" s="81">
        <f t="shared" ca="1" si="11"/>
        <v>42235.039583333339</v>
      </c>
      <c r="S37" s="81">
        <f t="shared" ca="1" si="11"/>
        <v>163576.71083333332</v>
      </c>
      <c r="T37" s="81">
        <f t="shared" ca="1" si="11"/>
        <v>163576.71083333332</v>
      </c>
      <c r="U37" s="81">
        <f t="shared" ca="1" si="11"/>
        <v>163576.71083333332</v>
      </c>
      <c r="V37" s="81">
        <f t="shared" ca="1" si="11"/>
        <v>165482.48927083332</v>
      </c>
      <c r="W37" s="81">
        <f t="shared" ca="1" si="11"/>
        <v>165496.86686416759</v>
      </c>
      <c r="X37" s="81">
        <f t="shared" ca="1" si="11"/>
        <v>165522.0202811778</v>
      </c>
      <c r="Y37" s="81">
        <f t="shared" ca="1" si="11"/>
        <v>169404.20088552847</v>
      </c>
      <c r="Z37" s="81">
        <f t="shared" ca="1" si="11"/>
        <v>169434.76082951546</v>
      </c>
      <c r="AA37" s="81">
        <f t="shared" ca="1" si="11"/>
        <v>169467.14629571131</v>
      </c>
      <c r="AB37" s="81">
        <f t="shared" ca="1" si="11"/>
        <v>173092.28667978843</v>
      </c>
      <c r="AC37" s="81">
        <f t="shared" ca="1" si="11"/>
        <v>173113.92539862465</v>
      </c>
      <c r="AD37" s="81">
        <f t="shared" ca="1" si="11"/>
        <v>173133.27864939941</v>
      </c>
      <c r="AE37" s="81">
        <f t="shared" ca="1" si="11"/>
        <v>278802.18715982727</v>
      </c>
      <c r="AF37" s="81">
        <f t="shared" ca="1" si="11"/>
        <v>278949.71804076398</v>
      </c>
      <c r="AG37" s="81">
        <f t="shared" ca="1" si="11"/>
        <v>279062.09446423821</v>
      </c>
      <c r="AH37" s="81">
        <f t="shared" ca="1" si="11"/>
        <v>283045.62992752256</v>
      </c>
      <c r="AI37" s="81">
        <f t="shared" ca="1" si="11"/>
        <v>283115.37200444855</v>
      </c>
      <c r="AJ37" s="81">
        <f t="shared" ca="1" si="11"/>
        <v>283172.74279829476</v>
      </c>
      <c r="AK37" s="81">
        <f t="shared" ca="1" si="11"/>
        <v>285183.50758412312</v>
      </c>
      <c r="AL37" s="81">
        <f t="shared" ca="1" si="11"/>
        <v>285252.69768526457</v>
      </c>
      <c r="AM37" s="81">
        <f t="shared" ca="1" si="11"/>
        <v>285310.91616275074</v>
      </c>
      <c r="AN37" s="81">
        <f t="shared" ca="1" si="11"/>
        <v>289302.24711188045</v>
      </c>
      <c r="AO37" s="81">
        <f t="shared" ca="1" si="11"/>
        <v>289388.52609940071</v>
      </c>
      <c r="AP37" s="81">
        <f t="shared" ca="1" si="11"/>
        <v>289468.87267035473</v>
      </c>
      <c r="AQ37" s="81">
        <f t="shared" ca="1" si="11"/>
        <v>302984.26425267715</v>
      </c>
      <c r="AR37" s="81">
        <f t="shared" ca="1" si="11"/>
        <v>303450.66705921717</v>
      </c>
      <c r="AS37" s="81">
        <f t="shared" ca="1" si="11"/>
        <v>305829.52128415811</v>
      </c>
      <c r="AT37" s="81">
        <f t="shared" ca="1" si="11"/>
        <v>307874.07456194237</v>
      </c>
      <c r="AU37" s="81">
        <f t="shared" ca="1" si="11"/>
        <v>308164.84090277669</v>
      </c>
      <c r="AV37" s="81">
        <f t="shared" ca="1" si="11"/>
        <v>310418.65302545199</v>
      </c>
      <c r="AW37" s="81">
        <f t="shared" ca="1" si="11"/>
        <v>310656.19254020695</v>
      </c>
      <c r="AX37" s="81">
        <f t="shared" ca="1" si="11"/>
        <v>310877.91386817291</v>
      </c>
      <c r="AY37" s="81">
        <f t="shared" ca="1" si="11"/>
        <v>312801.64679796918</v>
      </c>
      <c r="AZ37" s="81">
        <f t="shared" ca="1" si="11"/>
        <v>315006.59123146295</v>
      </c>
      <c r="BA37" s="81">
        <f t="shared" ca="1" si="11"/>
        <v>315220.53135455196</v>
      </c>
      <c r="BB37" s="81">
        <f t="shared" ca="1" si="11"/>
        <v>315437.71303382498</v>
      </c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</row>
    <row r="38" spans="1:71" s="75" customFormat="1" x14ac:dyDescent="0.15">
      <c r="A38" s="75" t="s">
        <v>55</v>
      </c>
      <c r="C38" s="42">
        <f t="shared" ca="1" si="8"/>
        <v>843939.06250000035</v>
      </c>
      <c r="D38" s="81">
        <f t="shared" ca="1" si="8"/>
        <v>3392800.4201547457</v>
      </c>
      <c r="E38" s="81">
        <f t="shared" ca="1" si="8"/>
        <v>5825876.1085838703</v>
      </c>
      <c r="F38" s="81">
        <f t="shared" ca="1" si="8"/>
        <v>7053420.2483499125</v>
      </c>
      <c r="G38" s="81">
        <f ca="1">+G23+G27+G37</f>
        <v>57335.429166666669</v>
      </c>
      <c r="H38" s="81">
        <f t="shared" ref="H38:BB38" ca="1" si="12">+H23+H27+H37</f>
        <v>57335.429166666669</v>
      </c>
      <c r="I38" s="81">
        <f t="shared" ca="1" si="12"/>
        <v>57335.429166666669</v>
      </c>
      <c r="J38" s="81">
        <f t="shared" ca="1" si="12"/>
        <v>57335.429166666669</v>
      </c>
      <c r="K38" s="81">
        <f t="shared" ca="1" si="12"/>
        <v>57335.429166666669</v>
      </c>
      <c r="L38" s="81">
        <f t="shared" ca="1" si="12"/>
        <v>57335.429166666669</v>
      </c>
      <c r="M38" s="81">
        <f t="shared" ca="1" si="12"/>
        <v>83321.081250000017</v>
      </c>
      <c r="N38" s="81">
        <f t="shared" ca="1" si="12"/>
        <v>83321.081250000017</v>
      </c>
      <c r="O38" s="81">
        <f t="shared" ca="1" si="12"/>
        <v>83321.081250000017</v>
      </c>
      <c r="P38" s="81">
        <f t="shared" ca="1" si="12"/>
        <v>83321.081250000017</v>
      </c>
      <c r="Q38" s="81">
        <f t="shared" ca="1" si="12"/>
        <v>83321.081250000017</v>
      </c>
      <c r="R38" s="81">
        <f t="shared" ca="1" si="12"/>
        <v>83321.081250000017</v>
      </c>
      <c r="S38" s="81">
        <f t="shared" ca="1" si="12"/>
        <v>250978.63791666666</v>
      </c>
      <c r="T38" s="81">
        <f t="shared" ca="1" si="12"/>
        <v>250978.63791666666</v>
      </c>
      <c r="U38" s="81">
        <f t="shared" ca="1" si="12"/>
        <v>250978.63791666666</v>
      </c>
      <c r="V38" s="81">
        <f t="shared" ca="1" si="12"/>
        <v>266243.69760416669</v>
      </c>
      <c r="W38" s="81">
        <f t="shared" ca="1" si="12"/>
        <v>266258.07519750093</v>
      </c>
      <c r="X38" s="81">
        <f t="shared" ca="1" si="12"/>
        <v>266283.22861451114</v>
      </c>
      <c r="Y38" s="81">
        <f t="shared" ca="1" si="12"/>
        <v>298296.87796886184</v>
      </c>
      <c r="Z38" s="81">
        <f t="shared" ca="1" si="12"/>
        <v>298327.43791284878</v>
      </c>
      <c r="AA38" s="81">
        <f t="shared" ca="1" si="12"/>
        <v>298359.82337904465</v>
      </c>
      <c r="AB38" s="81">
        <f t="shared" ca="1" si="12"/>
        <v>315344.24501312175</v>
      </c>
      <c r="AC38" s="81">
        <f t="shared" ca="1" si="12"/>
        <v>315365.88373195799</v>
      </c>
      <c r="AD38" s="81">
        <f t="shared" ca="1" si="12"/>
        <v>315385.23698273278</v>
      </c>
      <c r="AE38" s="81">
        <f t="shared" ca="1" si="12"/>
        <v>443568.98872232728</v>
      </c>
      <c r="AF38" s="81">
        <f t="shared" ca="1" si="12"/>
        <v>443716.51960326399</v>
      </c>
      <c r="AG38" s="81">
        <f t="shared" ca="1" si="12"/>
        <v>443828.89602673822</v>
      </c>
      <c r="AH38" s="81">
        <f t="shared" ca="1" si="12"/>
        <v>477350.47367752256</v>
      </c>
      <c r="AI38" s="81">
        <f t="shared" ca="1" si="12"/>
        <v>477420.21575444855</v>
      </c>
      <c r="AJ38" s="81">
        <f t="shared" ca="1" si="12"/>
        <v>477477.58654829476</v>
      </c>
      <c r="AK38" s="81">
        <f t="shared" ca="1" si="12"/>
        <v>493515.5966466231</v>
      </c>
      <c r="AL38" s="81">
        <f t="shared" ca="1" si="12"/>
        <v>493584.78674776456</v>
      </c>
      <c r="AM38" s="81">
        <f t="shared" ca="1" si="12"/>
        <v>493643.00522525073</v>
      </c>
      <c r="AN38" s="81">
        <f t="shared" ca="1" si="12"/>
        <v>527172.37836188043</v>
      </c>
      <c r="AO38" s="81">
        <f t="shared" ca="1" si="12"/>
        <v>527258.65734940069</v>
      </c>
      <c r="AP38" s="81">
        <f t="shared" ca="1" si="12"/>
        <v>527339.00392035476</v>
      </c>
      <c r="AQ38" s="81">
        <f t="shared" ca="1" si="12"/>
        <v>553731.83959121886</v>
      </c>
      <c r="AR38" s="81">
        <f t="shared" ca="1" si="12"/>
        <v>554198.24239775888</v>
      </c>
      <c r="AS38" s="81">
        <f t="shared" ca="1" si="12"/>
        <v>572863.43334144983</v>
      </c>
      <c r="AT38" s="81">
        <f t="shared" ca="1" si="12"/>
        <v>574907.98661923409</v>
      </c>
      <c r="AU38" s="81">
        <f t="shared" ca="1" si="12"/>
        <v>575198.75296006841</v>
      </c>
      <c r="AV38" s="81">
        <f t="shared" ca="1" si="12"/>
        <v>593738.90180149372</v>
      </c>
      <c r="AW38" s="81">
        <f t="shared" ca="1" si="12"/>
        <v>593976.44131624862</v>
      </c>
      <c r="AX38" s="81">
        <f t="shared" ca="1" si="12"/>
        <v>594198.16264421458</v>
      </c>
      <c r="AY38" s="81">
        <f t="shared" ca="1" si="12"/>
        <v>596121.89557401091</v>
      </c>
      <c r="AZ38" s="81">
        <f t="shared" ca="1" si="12"/>
        <v>614613.17672625463</v>
      </c>
      <c r="BA38" s="81">
        <f t="shared" ca="1" si="12"/>
        <v>614827.11684934364</v>
      </c>
      <c r="BB38" s="81">
        <f t="shared" ca="1" si="12"/>
        <v>615044.29852861667</v>
      </c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s="75" customFormat="1" x14ac:dyDescent="0.15">
      <c r="A39" s="75" t="s">
        <v>47</v>
      </c>
      <c r="C39" s="42">
        <f t="shared" ref="C39:F39" ca="1" si="13">SUMIFS($G39:$BB39,$G$2:$BB$2,C$3)</f>
        <v>-810106.07753936737</v>
      </c>
      <c r="D39" s="81">
        <f t="shared" ca="1" si="13"/>
        <v>-2455577.3675402552</v>
      </c>
      <c r="E39" s="81">
        <f t="shared" ca="1" si="13"/>
        <v>-3063713.1506034886</v>
      </c>
      <c r="F39" s="81">
        <f t="shared" ca="1" si="13"/>
        <v>1690444.4940084084</v>
      </c>
      <c r="G39" s="81">
        <f ca="1">+G17-G38</f>
        <v>-60361.549166666671</v>
      </c>
      <c r="H39" s="81">
        <f t="shared" ref="H39:BB39" ca="1" si="14">+H17-H38</f>
        <v>-59850.554750783842</v>
      </c>
      <c r="I39" s="81">
        <f t="shared" ca="1" si="14"/>
        <v>-59586.281324610965</v>
      </c>
      <c r="J39" s="81">
        <f t="shared" ca="1" si="14"/>
        <v>-59116.608632839918</v>
      </c>
      <c r="K39" s="81">
        <f t="shared" ca="1" si="14"/>
        <v>-58865.773822991629</v>
      </c>
      <c r="L39" s="81">
        <f t="shared" ca="1" si="14"/>
        <v>-58723.816238296706</v>
      </c>
      <c r="M39" s="81">
        <f t="shared" ca="1" si="14"/>
        <v>-81700.037116764797</v>
      </c>
      <c r="N39" s="81">
        <f t="shared" ca="1" si="14"/>
        <v>-78535.026483374779</v>
      </c>
      <c r="O39" s="81">
        <f t="shared" ca="1" si="14"/>
        <v>-75276.823831930349</v>
      </c>
      <c r="P39" s="81">
        <f t="shared" ca="1" si="14"/>
        <v>-73579.473816523823</v>
      </c>
      <c r="Q39" s="81">
        <f t="shared" ca="1" si="14"/>
        <v>-72581.883287397446</v>
      </c>
      <c r="R39" s="81">
        <f t="shared" ca="1" si="14"/>
        <v>-71928.249067186538</v>
      </c>
      <c r="S39" s="81">
        <f t="shared" ca="1" si="14"/>
        <v>-216934.86984198084</v>
      </c>
      <c r="T39" s="81">
        <f t="shared" ca="1" si="14"/>
        <v>-200046.63733978043</v>
      </c>
      <c r="U39" s="81">
        <f t="shared" ca="1" si="14"/>
        <v>-186929.80383005965</v>
      </c>
      <c r="V39" s="81">
        <f t="shared" ca="1" si="14"/>
        <v>-193132.53365193488</v>
      </c>
      <c r="W39" s="81">
        <f t="shared" ca="1" si="14"/>
        <v>-186635.48875732359</v>
      </c>
      <c r="X39" s="81">
        <f t="shared" ca="1" si="14"/>
        <v>-181780.87927435117</v>
      </c>
      <c r="Y39" s="81">
        <f t="shared" ca="1" si="14"/>
        <v>-208316.63950967247</v>
      </c>
      <c r="Z39" s="81">
        <f t="shared" ca="1" si="14"/>
        <v>-212431.99735804985</v>
      </c>
      <c r="AA39" s="81">
        <f t="shared" ca="1" si="14"/>
        <v>-206394.96042769466</v>
      </c>
      <c r="AB39" s="81">
        <f t="shared" ca="1" si="14"/>
        <v>-224888.28525836629</v>
      </c>
      <c r="AC39" s="81">
        <f t="shared" ca="1" si="14"/>
        <v>-220849.53657956101</v>
      </c>
      <c r="AD39" s="81">
        <f t="shared" ca="1" si="14"/>
        <v>-217235.73571147994</v>
      </c>
      <c r="AE39" s="81">
        <f t="shared" ca="1" si="14"/>
        <v>-308909.28824171028</v>
      </c>
      <c r="AF39" s="81">
        <f t="shared" ca="1" si="14"/>
        <v>-281445.75963368441</v>
      </c>
      <c r="AG39" s="81">
        <f t="shared" ca="1" si="14"/>
        <v>-260518.39995353814</v>
      </c>
      <c r="AH39" s="81">
        <f t="shared" ca="1" si="14"/>
        <v>-277670.11445835454</v>
      </c>
      <c r="AI39" s="81">
        <f t="shared" ca="1" si="14"/>
        <v>-264669.68072443281</v>
      </c>
      <c r="AJ39" s="81">
        <f t="shared" ca="1" si="14"/>
        <v>-253969.43716708274</v>
      </c>
      <c r="AK39" s="81">
        <f t="shared" ca="1" si="14"/>
        <v>-254091.40655670897</v>
      </c>
      <c r="AL39" s="81">
        <f t="shared" ca="1" si="14"/>
        <v>-241190.07173762919</v>
      </c>
      <c r="AM39" s="81">
        <f t="shared" ca="1" si="14"/>
        <v>-230328.70811019966</v>
      </c>
      <c r="AN39" s="81">
        <f t="shared" ca="1" si="14"/>
        <v>-246023.14479032962</v>
      </c>
      <c r="AO39" s="81">
        <f t="shared" ca="1" si="14"/>
        <v>-229939.35510696442</v>
      </c>
      <c r="AP39" s="81">
        <f t="shared" ca="1" si="14"/>
        <v>-214957.78412285412</v>
      </c>
      <c r="AQ39" s="81">
        <f t="shared" ca="1" si="14"/>
        <v>-141661.95282624959</v>
      </c>
      <c r="AR39" s="81">
        <f t="shared" ca="1" si="14"/>
        <v>-54847.386576406308</v>
      </c>
      <c r="AS39" s="81">
        <f t="shared" ca="1" si="14"/>
        <v>-1395.3470359024359</v>
      </c>
      <c r="AT39" s="81">
        <f t="shared" ca="1" si="14"/>
        <v>51663.74695001496</v>
      </c>
      <c r="AU39" s="81">
        <f t="shared" ca="1" si="14"/>
        <v>105832.79256093374</v>
      </c>
      <c r="AV39" s="81">
        <f t="shared" ca="1" si="14"/>
        <v>136045.81113748008</v>
      </c>
      <c r="AW39" s="81">
        <f t="shared" ca="1" si="14"/>
        <v>180324.147897791</v>
      </c>
      <c r="AX39" s="81">
        <f t="shared" ca="1" si="14"/>
        <v>221664.03067297942</v>
      </c>
      <c r="AY39" s="81">
        <f t="shared" ca="1" si="14"/>
        <v>252273.1757010509</v>
      </c>
      <c r="AZ39" s="81">
        <f t="shared" ca="1" si="14"/>
        <v>273411.23514625255</v>
      </c>
      <c r="BA39" s="81">
        <f t="shared" ca="1" si="14"/>
        <v>313313.1997917589</v>
      </c>
      <c r="BB39" s="81">
        <f t="shared" ca="1" si="14"/>
        <v>353821.04058870522</v>
      </c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</row>
    <row r="40" spans="1:71" s="74" customFormat="1" x14ac:dyDescent="0.15">
      <c r="A40" s="70"/>
      <c r="B40" s="70"/>
      <c r="C40" s="42"/>
      <c r="D40" s="43"/>
      <c r="E40" s="43"/>
      <c r="F40" s="43"/>
      <c r="G40" s="14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</row>
    <row r="41" spans="1:71" s="204" customFormat="1" ht="16" x14ac:dyDescent="0.2">
      <c r="A41" s="204" t="s">
        <v>220</v>
      </c>
      <c r="C41" s="211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</row>
    <row r="42" spans="1:71" x14ac:dyDescent="0.15">
      <c r="A42" s="47" t="s">
        <v>45</v>
      </c>
      <c r="C42" s="82">
        <f t="shared" ref="C42:F46" si="15">SUMIFS($G42:$BB42,$G$2:$BB$2,C$3)</f>
        <v>30000</v>
      </c>
      <c r="D42" s="80">
        <f t="shared" si="15"/>
        <v>30000</v>
      </c>
      <c r="E42" s="80">
        <f t="shared" si="15"/>
        <v>30000</v>
      </c>
      <c r="F42" s="80">
        <f t="shared" si="15"/>
        <v>30000</v>
      </c>
      <c r="G42" s="77">
        <f>BS!H14*Main!$D$88/12</f>
        <v>2500</v>
      </c>
      <c r="H42" s="80">
        <f>BS!I14*Main!$D$88/12</f>
        <v>2500</v>
      </c>
      <c r="I42" s="80">
        <f>BS!J14*Main!$D$88/12</f>
        <v>2500</v>
      </c>
      <c r="J42" s="80">
        <f>BS!K14*Main!$D$88/12</f>
        <v>2500</v>
      </c>
      <c r="K42" s="80">
        <f>BS!L14*Main!$D$88/12</f>
        <v>2500</v>
      </c>
      <c r="L42" s="80">
        <f>BS!M14*Main!$D$88/12</f>
        <v>2500</v>
      </c>
      <c r="M42" s="80">
        <f>BS!N14*Main!$D$88/12</f>
        <v>2500</v>
      </c>
      <c r="N42" s="80">
        <f>BS!O14*Main!$D$88/12</f>
        <v>2500</v>
      </c>
      <c r="O42" s="80">
        <f>BS!P14*Main!$D$88/12</f>
        <v>2500</v>
      </c>
      <c r="P42" s="80">
        <f>BS!Q14*Main!$D$88/12</f>
        <v>2500</v>
      </c>
      <c r="Q42" s="80">
        <f>BS!R14*Main!$D$88/12</f>
        <v>2500</v>
      </c>
      <c r="R42" s="80">
        <f>BS!S14*Main!$D$88/12</f>
        <v>2500</v>
      </c>
      <c r="S42" s="80">
        <f>BS!T14*Main!$D$88/12</f>
        <v>2500</v>
      </c>
      <c r="T42" s="80">
        <f>BS!U14*Main!$D$88/12</f>
        <v>2500</v>
      </c>
      <c r="U42" s="80">
        <f>BS!V14*Main!$D$88/12</f>
        <v>2500</v>
      </c>
      <c r="V42" s="80">
        <f>BS!W14*Main!$D$88/12</f>
        <v>2500</v>
      </c>
      <c r="W42" s="80">
        <f>BS!X14*Main!$D$88/12</f>
        <v>2500</v>
      </c>
      <c r="X42" s="80">
        <f>BS!Y14*Main!$D$88/12</f>
        <v>2500</v>
      </c>
      <c r="Y42" s="80">
        <f>BS!Z14*Main!$D$88/12</f>
        <v>2500</v>
      </c>
      <c r="Z42" s="80">
        <f>BS!AA14*Main!$D$88/12</f>
        <v>2500</v>
      </c>
      <c r="AA42" s="80">
        <f>BS!AB14*Main!$D$88/12</f>
        <v>2500</v>
      </c>
      <c r="AB42" s="80">
        <f>BS!AC14*Main!$D$88/12</f>
        <v>2500</v>
      </c>
      <c r="AC42" s="80">
        <f>BS!AD14*Main!$D$88/12</f>
        <v>2500</v>
      </c>
      <c r="AD42" s="80">
        <f>BS!AE14*Main!$D$88/12</f>
        <v>2500</v>
      </c>
      <c r="AE42" s="80">
        <f>BS!AF14*Main!$D$88/12</f>
        <v>2500</v>
      </c>
      <c r="AF42" s="80">
        <f>BS!AG14*Main!$D$88/12</f>
        <v>2500</v>
      </c>
      <c r="AG42" s="80">
        <f>BS!AH14*Main!$D$88/12</f>
        <v>2500</v>
      </c>
      <c r="AH42" s="80">
        <f>BS!AI14*Main!$D$88/12</f>
        <v>2500</v>
      </c>
      <c r="AI42" s="80">
        <f>BS!AJ14*Main!$D$88/12</f>
        <v>2500</v>
      </c>
      <c r="AJ42" s="80">
        <f>BS!AK14*Main!$D$88/12</f>
        <v>2500</v>
      </c>
      <c r="AK42" s="80">
        <f>BS!AL14*Main!$D$88/12</f>
        <v>2500</v>
      </c>
      <c r="AL42" s="80">
        <f>BS!AM14*Main!$D$88/12</f>
        <v>2500</v>
      </c>
      <c r="AM42" s="80">
        <f>BS!AN14*Main!$D$88/12</f>
        <v>2500</v>
      </c>
      <c r="AN42" s="80">
        <f>BS!AO14*Main!$D$88/12</f>
        <v>2500</v>
      </c>
      <c r="AO42" s="80">
        <f>BS!AP14*Main!$D$88/12</f>
        <v>2500</v>
      </c>
      <c r="AP42" s="80">
        <f>BS!AQ14*Main!$D$88/12</f>
        <v>2500</v>
      </c>
      <c r="AQ42" s="80">
        <f>BS!AR14*Main!$D$88/12</f>
        <v>2500</v>
      </c>
      <c r="AR42" s="80">
        <f>BS!AS14*Main!$D$88/12</f>
        <v>2500</v>
      </c>
      <c r="AS42" s="80">
        <f>BS!AT14*Main!$D$88/12</f>
        <v>2500</v>
      </c>
      <c r="AT42" s="80">
        <f>BS!AU14*Main!$D$88/12</f>
        <v>2500</v>
      </c>
      <c r="AU42" s="80">
        <f>BS!AV14*Main!$D$88/12</f>
        <v>2500</v>
      </c>
      <c r="AV42" s="80">
        <f>BS!AW14*Main!$D$88/12</f>
        <v>2500</v>
      </c>
      <c r="AW42" s="80">
        <f>BS!AX14*Main!$D$88/12</f>
        <v>2500</v>
      </c>
      <c r="AX42" s="80">
        <f>BS!AY14*Main!$D$88/12</f>
        <v>2500</v>
      </c>
      <c r="AY42" s="80">
        <f>BS!AZ14*Main!$D$88/12</f>
        <v>2500</v>
      </c>
      <c r="AZ42" s="80">
        <f>BS!BA14*Main!$D$88/12</f>
        <v>2500</v>
      </c>
      <c r="BA42" s="80">
        <f>BS!BB14*Main!$D$88/12</f>
        <v>2500</v>
      </c>
      <c r="BB42" s="80">
        <f>BS!BC14*Main!$D$88/12</f>
        <v>2500</v>
      </c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15">
      <c r="A43" s="47" t="s">
        <v>64</v>
      </c>
      <c r="C43" s="82">
        <f t="shared" ca="1" si="15"/>
        <v>-294037.12713877863</v>
      </c>
      <c r="D43" s="80">
        <f t="shared" ca="1" si="15"/>
        <v>-869952.07863908925</v>
      </c>
      <c r="E43" s="80">
        <f t="shared" ca="1" si="15"/>
        <v>-1082799.6027112212</v>
      </c>
      <c r="F43" s="80">
        <f t="shared" ca="1" si="15"/>
        <v>581155.57290294289</v>
      </c>
      <c r="G43" s="77">
        <f ca="1">(G39-G42-G44-G45)*Main!$D$89</f>
        <v>-22001.542208333332</v>
      </c>
      <c r="H43" s="80">
        <f ca="1">(H39-H42-H44-H45)*Main!$D$89</f>
        <v>-21822.694162774344</v>
      </c>
      <c r="I43" s="80">
        <f ca="1">(I39-I42-I44-I45)*Main!$D$89</f>
        <v>-21730.198463613837</v>
      </c>
      <c r="J43" s="80">
        <f ca="1">(J39-J42-J44-J45)*Main!$D$89</f>
        <v>-21565.81302149397</v>
      </c>
      <c r="K43" s="80">
        <f ca="1">(K39-K42-K44-K45)*Main!$D$89</f>
        <v>-21478.020838047069</v>
      </c>
      <c r="L43" s="80">
        <f ca="1">(L39-L42-L44-L45)*Main!$D$89</f>
        <v>-21428.335683403846</v>
      </c>
      <c r="M43" s="80">
        <f ca="1">(M39-M42-M44-M45)*Main!$D$89</f>
        <v>-29470.012990867675</v>
      </c>
      <c r="N43" s="80">
        <f ca="1">(N39-N42-N44-N45)*Main!$D$89</f>
        <v>-28362.25926918117</v>
      </c>
      <c r="O43" s="80">
        <f ca="1">(O39-O42-O44-O45)*Main!$D$89</f>
        <v>-27221.888341175621</v>
      </c>
      <c r="P43" s="80">
        <f ca="1">(P39-P42-P44-P45)*Main!$D$89</f>
        <v>-26627.815835783338</v>
      </c>
      <c r="Q43" s="80">
        <f ca="1">(Q39-Q42-Q44-Q45)*Main!$D$89</f>
        <v>-26278.659150589105</v>
      </c>
      <c r="R43" s="80">
        <f ca="1">(R39-R42-R44-R45)*Main!$D$89</f>
        <v>-26049.887173515286</v>
      </c>
      <c r="S43" s="80">
        <f ca="1">(S39-S42-S44-S45)*Main!$D$89</f>
        <v>-76802.204444693285</v>
      </c>
      <c r="T43" s="80">
        <f ca="1">(T39-T42-T44-T45)*Main!$D$89</f>
        <v>-70891.323068923142</v>
      </c>
      <c r="U43" s="80">
        <f ca="1">(U39-U42-U44-U45)*Main!$D$89</f>
        <v>-66300.431340520881</v>
      </c>
      <c r="V43" s="80">
        <f ca="1">(V39-V42-V44-V45)*Main!$D$89</f>
        <v>-68471.386778177199</v>
      </c>
      <c r="W43" s="80">
        <f ca="1">(W39-W42-W44-W45)*Main!$D$89</f>
        <v>-66197.421065063259</v>
      </c>
      <c r="X43" s="80">
        <f ca="1">(X39-X42-X44-X45)*Main!$D$89</f>
        <v>-64498.307746022903</v>
      </c>
      <c r="Y43" s="80">
        <f ca="1">(Y39-Y42-Y44-Y45)*Main!$D$89</f>
        <v>-73785.823828385357</v>
      </c>
      <c r="Z43" s="80">
        <f ca="1">(Z39-Z42-Z44-Z45)*Main!$D$89</f>
        <v>-75226.199075317447</v>
      </c>
      <c r="AA43" s="80">
        <f ca="1">(AA39-AA42-AA44-AA45)*Main!$D$89</f>
        <v>-73113.236149693126</v>
      </c>
      <c r="AB43" s="80">
        <f ca="1">(AB39-AB42-AB44-AB45)*Main!$D$89</f>
        <v>-79585.899840428203</v>
      </c>
      <c r="AC43" s="80">
        <f ca="1">(AC39-AC42-AC44-AC45)*Main!$D$89</f>
        <v>-78172.337802846348</v>
      </c>
      <c r="AD43" s="80">
        <f ca="1">(AD39-AD42-AD44-AD45)*Main!$D$89</f>
        <v>-76907.507499017971</v>
      </c>
      <c r="AE43" s="80">
        <f ca="1">(AE39-AE42-AE44-AE45)*Main!$D$89</f>
        <v>-108993.25088459859</v>
      </c>
      <c r="AF43" s="80">
        <f ca="1">(AF39-AF42-AF44-AF45)*Main!$D$89</f>
        <v>-99381.015871789539</v>
      </c>
      <c r="AG43" s="80">
        <f ca="1">(AG39-AG42-AG44-AG45)*Main!$D$89</f>
        <v>-92056.439983738339</v>
      </c>
      <c r="AH43" s="80">
        <f ca="1">(AH39-AH42-AH44-AH45)*Main!$D$89</f>
        <v>-98059.540060424086</v>
      </c>
      <c r="AI43" s="80">
        <f ca="1">(AI39-AI42-AI44-AI45)*Main!$D$89</f>
        <v>-93509.388253551471</v>
      </c>
      <c r="AJ43" s="80">
        <f ca="1">(AJ39-AJ42-AJ44-AJ45)*Main!$D$89</f>
        <v>-89764.30300847895</v>
      </c>
      <c r="AK43" s="80">
        <f ca="1">(AK39-AK42-AK44-AK45)*Main!$D$89</f>
        <v>-89806.99229484814</v>
      </c>
      <c r="AL43" s="80">
        <f ca="1">(AL39-AL42-AL44-AL45)*Main!$D$89</f>
        <v>-85291.525108170215</v>
      </c>
      <c r="AM43" s="80">
        <f ca="1">(AM39-AM42-AM44-AM45)*Main!$D$89</f>
        <v>-81490.047838569881</v>
      </c>
      <c r="AN43" s="80">
        <f ca="1">(AN39-AN42-AN44-AN45)*Main!$D$89</f>
        <v>-86983.100676615359</v>
      </c>
      <c r="AO43" s="80">
        <f ca="1">(AO39-AO42-AO44-AO45)*Main!$D$89</f>
        <v>-81353.77428743754</v>
      </c>
      <c r="AP43" s="80">
        <f ca="1">(AP39-AP42-AP44-AP45)*Main!$D$89</f>
        <v>-76110.224442998937</v>
      </c>
      <c r="AQ43" s="80">
        <f ca="1">(AQ39-AQ42-AQ44-AQ45)*Main!$D$89</f>
        <v>-50456.683489187351</v>
      </c>
      <c r="AR43" s="80">
        <f ca="1">(AR39-AR42-AR44-AR45)*Main!$D$89</f>
        <v>-20071.585301742205</v>
      </c>
      <c r="AS43" s="80">
        <f ca="1">(AS39-AS42-AS44-AS45)*Main!$D$89</f>
        <v>-1363.3714625658524</v>
      </c>
      <c r="AT43" s="80">
        <f ca="1">(AT39-AT42-AT44-AT45)*Main!$D$89</f>
        <v>17207.311432505234</v>
      </c>
      <c r="AU43" s="80">
        <f ca="1">(AU39-AU42-AU44-AU45)*Main!$D$89</f>
        <v>36166.477396326809</v>
      </c>
      <c r="AV43" s="80">
        <f ca="1">(AV39-AV42-AV44-AV45)*Main!$D$89</f>
        <v>46741.033898118025</v>
      </c>
      <c r="AW43" s="80">
        <f ca="1">(AW39-AW42-AW44-AW45)*Main!$D$89</f>
        <v>62238.451764226847</v>
      </c>
      <c r="AX43" s="80">
        <f ca="1">(AX39-AX42-AX44-AX45)*Main!$D$89</f>
        <v>76707.410735542799</v>
      </c>
      <c r="AY43" s="80">
        <f ca="1">(AY39-AY42-AY44-AY45)*Main!$D$89</f>
        <v>87420.611495367804</v>
      </c>
      <c r="AZ43" s="80">
        <f ca="1">(AZ39-AZ42-AZ44-AZ45)*Main!$D$89</f>
        <v>94818.932301188383</v>
      </c>
      <c r="BA43" s="80">
        <f ca="1">(BA39-BA42-BA44-BA45)*Main!$D$89</f>
        <v>108784.61992711561</v>
      </c>
      <c r="BB43" s="80">
        <f ca="1">(BB39-BB42-BB44-BB45)*Main!$D$89</f>
        <v>122962.36420604681</v>
      </c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15">
      <c r="A44" s="47" t="s">
        <v>65</v>
      </c>
      <c r="C44" s="82">
        <f t="shared" si="15"/>
        <v>0</v>
      </c>
      <c r="D44" s="80">
        <f t="shared" si="15"/>
        <v>0</v>
      </c>
      <c r="E44" s="80">
        <f t="shared" si="15"/>
        <v>0</v>
      </c>
      <c r="F44" s="80">
        <f t="shared" si="15"/>
        <v>0</v>
      </c>
      <c r="G44" s="295">
        <v>0</v>
      </c>
      <c r="H44" s="295">
        <v>0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5">
        <v>0</v>
      </c>
      <c r="O44" s="295">
        <v>0</v>
      </c>
      <c r="P44" s="295">
        <v>0</v>
      </c>
      <c r="Q44" s="295">
        <v>0</v>
      </c>
      <c r="R44" s="295">
        <v>0</v>
      </c>
      <c r="S44" s="295">
        <v>0</v>
      </c>
      <c r="T44" s="295">
        <v>0</v>
      </c>
      <c r="U44" s="295">
        <v>0</v>
      </c>
      <c r="V44" s="295">
        <v>0</v>
      </c>
      <c r="W44" s="295">
        <v>0</v>
      </c>
      <c r="X44" s="295">
        <v>0</v>
      </c>
      <c r="Y44" s="295">
        <v>0</v>
      </c>
      <c r="Z44" s="295">
        <v>0</v>
      </c>
      <c r="AA44" s="295">
        <v>0</v>
      </c>
      <c r="AB44" s="295">
        <v>0</v>
      </c>
      <c r="AC44" s="295">
        <v>0</v>
      </c>
      <c r="AD44" s="295">
        <v>0</v>
      </c>
      <c r="AE44" s="295">
        <v>0</v>
      </c>
      <c r="AF44" s="295">
        <v>0</v>
      </c>
      <c r="AG44" s="295">
        <v>0</v>
      </c>
      <c r="AH44" s="295">
        <v>0</v>
      </c>
      <c r="AI44" s="295">
        <v>0</v>
      </c>
      <c r="AJ44" s="295">
        <v>0</v>
      </c>
      <c r="AK44" s="295">
        <v>0</v>
      </c>
      <c r="AL44" s="295">
        <v>0</v>
      </c>
      <c r="AM44" s="295">
        <v>0</v>
      </c>
      <c r="AN44" s="295">
        <v>0</v>
      </c>
      <c r="AO44" s="295">
        <v>0</v>
      </c>
      <c r="AP44" s="295">
        <v>0</v>
      </c>
      <c r="AQ44" s="295">
        <v>0</v>
      </c>
      <c r="AR44" s="295">
        <v>0</v>
      </c>
      <c r="AS44" s="295">
        <v>0</v>
      </c>
      <c r="AT44" s="295">
        <v>0</v>
      </c>
      <c r="AU44" s="295">
        <v>0</v>
      </c>
      <c r="AV44" s="295">
        <v>0</v>
      </c>
      <c r="AW44" s="295">
        <v>0</v>
      </c>
      <c r="AX44" s="295">
        <v>0</v>
      </c>
      <c r="AY44" s="295">
        <v>0</v>
      </c>
      <c r="AZ44" s="295">
        <v>0</v>
      </c>
      <c r="BA44" s="295">
        <v>0</v>
      </c>
      <c r="BB44" s="295">
        <v>0</v>
      </c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15">
      <c r="A45" s="47" t="s">
        <v>66</v>
      </c>
      <c r="C45" s="82">
        <f t="shared" si="15"/>
        <v>0</v>
      </c>
      <c r="D45" s="80">
        <f t="shared" si="15"/>
        <v>0</v>
      </c>
      <c r="E45" s="80">
        <f t="shared" si="15"/>
        <v>0</v>
      </c>
      <c r="F45" s="80">
        <f t="shared" si="15"/>
        <v>0</v>
      </c>
      <c r="G45" s="295">
        <v>0</v>
      </c>
      <c r="H45" s="295">
        <v>0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5">
        <v>0</v>
      </c>
      <c r="O45" s="295">
        <v>0</v>
      </c>
      <c r="P45" s="295">
        <v>0</v>
      </c>
      <c r="Q45" s="295">
        <v>0</v>
      </c>
      <c r="R45" s="295">
        <v>0</v>
      </c>
      <c r="S45" s="295">
        <v>0</v>
      </c>
      <c r="T45" s="295">
        <v>0</v>
      </c>
      <c r="U45" s="295">
        <v>0</v>
      </c>
      <c r="V45" s="295">
        <v>0</v>
      </c>
      <c r="W45" s="295">
        <v>0</v>
      </c>
      <c r="X45" s="295">
        <v>0</v>
      </c>
      <c r="Y45" s="295">
        <v>0</v>
      </c>
      <c r="Z45" s="295">
        <v>0</v>
      </c>
      <c r="AA45" s="295">
        <v>0</v>
      </c>
      <c r="AB45" s="295">
        <v>0</v>
      </c>
      <c r="AC45" s="295">
        <v>0</v>
      </c>
      <c r="AD45" s="295">
        <v>0</v>
      </c>
      <c r="AE45" s="295">
        <v>0</v>
      </c>
      <c r="AF45" s="295">
        <v>0</v>
      </c>
      <c r="AG45" s="295">
        <v>0</v>
      </c>
      <c r="AH45" s="295">
        <v>0</v>
      </c>
      <c r="AI45" s="295">
        <v>0</v>
      </c>
      <c r="AJ45" s="295">
        <v>0</v>
      </c>
      <c r="AK45" s="295">
        <v>0</v>
      </c>
      <c r="AL45" s="295">
        <v>0</v>
      </c>
      <c r="AM45" s="295">
        <v>0</v>
      </c>
      <c r="AN45" s="295">
        <v>0</v>
      </c>
      <c r="AO45" s="295">
        <v>0</v>
      </c>
      <c r="AP45" s="295">
        <v>0</v>
      </c>
      <c r="AQ45" s="295">
        <v>0</v>
      </c>
      <c r="AR45" s="295">
        <v>0</v>
      </c>
      <c r="AS45" s="295">
        <v>0</v>
      </c>
      <c r="AT45" s="295">
        <v>0</v>
      </c>
      <c r="AU45" s="295">
        <v>0</v>
      </c>
      <c r="AV45" s="295">
        <v>0</v>
      </c>
      <c r="AW45" s="295">
        <v>0</v>
      </c>
      <c r="AX45" s="295">
        <v>0</v>
      </c>
      <c r="AY45" s="295">
        <v>0</v>
      </c>
      <c r="AZ45" s="295">
        <v>0</v>
      </c>
      <c r="BA45" s="295">
        <v>0</v>
      </c>
      <c r="BB45" s="295">
        <v>0</v>
      </c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s="75" customFormat="1" x14ac:dyDescent="0.15">
      <c r="A46" s="75" t="s">
        <v>221</v>
      </c>
      <c r="C46" s="42">
        <f t="shared" ca="1" si="15"/>
        <v>-264037.12713877863</v>
      </c>
      <c r="D46" s="81">
        <f t="shared" ca="1" si="15"/>
        <v>-839952.07863908925</v>
      </c>
      <c r="E46" s="81">
        <f t="shared" ca="1" si="15"/>
        <v>-1052799.6027112212</v>
      </c>
      <c r="F46" s="81">
        <f t="shared" ca="1" si="15"/>
        <v>611155.57290294289</v>
      </c>
      <c r="G46" s="81">
        <f ca="1">SUM(G42:G45)</f>
        <v>-19501.542208333332</v>
      </c>
      <c r="H46" s="81">
        <f t="shared" ref="H46:BB46" ca="1" si="16">SUM(H42:H45)</f>
        <v>-19322.694162774344</v>
      </c>
      <c r="I46" s="81">
        <f t="shared" ca="1" si="16"/>
        <v>-19230.198463613837</v>
      </c>
      <c r="J46" s="81">
        <f t="shared" ca="1" si="16"/>
        <v>-19065.81302149397</v>
      </c>
      <c r="K46" s="81">
        <f t="shared" ca="1" si="16"/>
        <v>-18978.020838047069</v>
      </c>
      <c r="L46" s="81">
        <f t="shared" ca="1" si="16"/>
        <v>-18928.335683403846</v>
      </c>
      <c r="M46" s="81">
        <f t="shared" ca="1" si="16"/>
        <v>-26970.012990867675</v>
      </c>
      <c r="N46" s="81">
        <f t="shared" ca="1" si="16"/>
        <v>-25862.25926918117</v>
      </c>
      <c r="O46" s="81">
        <f t="shared" ca="1" si="16"/>
        <v>-24721.888341175621</v>
      </c>
      <c r="P46" s="81">
        <f t="shared" ca="1" si="16"/>
        <v>-24127.815835783338</v>
      </c>
      <c r="Q46" s="81">
        <f t="shared" ca="1" si="16"/>
        <v>-23778.659150589105</v>
      </c>
      <c r="R46" s="81">
        <f t="shared" ca="1" si="16"/>
        <v>-23549.887173515286</v>
      </c>
      <c r="S46" s="81">
        <f t="shared" ca="1" si="16"/>
        <v>-74302.204444693285</v>
      </c>
      <c r="T46" s="81">
        <f t="shared" ca="1" si="16"/>
        <v>-68391.323068923142</v>
      </c>
      <c r="U46" s="81">
        <f t="shared" ca="1" si="16"/>
        <v>-63800.431340520881</v>
      </c>
      <c r="V46" s="81">
        <f t="shared" ca="1" si="16"/>
        <v>-65971.386778177199</v>
      </c>
      <c r="W46" s="81">
        <f t="shared" ca="1" si="16"/>
        <v>-63697.421065063259</v>
      </c>
      <c r="X46" s="81">
        <f t="shared" ca="1" si="16"/>
        <v>-61998.307746022903</v>
      </c>
      <c r="Y46" s="81">
        <f t="shared" ca="1" si="16"/>
        <v>-71285.823828385357</v>
      </c>
      <c r="Z46" s="81">
        <f t="shared" ca="1" si="16"/>
        <v>-72726.199075317447</v>
      </c>
      <c r="AA46" s="81">
        <f t="shared" ca="1" si="16"/>
        <v>-70613.236149693126</v>
      </c>
      <c r="AB46" s="81">
        <f t="shared" ca="1" si="16"/>
        <v>-77085.899840428203</v>
      </c>
      <c r="AC46" s="81">
        <f t="shared" ca="1" si="16"/>
        <v>-75672.337802846348</v>
      </c>
      <c r="AD46" s="81">
        <f t="shared" ca="1" si="16"/>
        <v>-74407.507499017971</v>
      </c>
      <c r="AE46" s="81">
        <f t="shared" ca="1" si="16"/>
        <v>-106493.25088459859</v>
      </c>
      <c r="AF46" s="81">
        <f t="shared" ca="1" si="16"/>
        <v>-96881.015871789539</v>
      </c>
      <c r="AG46" s="81">
        <f t="shared" ca="1" si="16"/>
        <v>-89556.439983738339</v>
      </c>
      <c r="AH46" s="81">
        <f t="shared" ca="1" si="16"/>
        <v>-95559.540060424086</v>
      </c>
      <c r="AI46" s="81">
        <f t="shared" ca="1" si="16"/>
        <v>-91009.388253551471</v>
      </c>
      <c r="AJ46" s="81">
        <f t="shared" ca="1" si="16"/>
        <v>-87264.30300847895</v>
      </c>
      <c r="AK46" s="81">
        <f t="shared" ca="1" si="16"/>
        <v>-87306.99229484814</v>
      </c>
      <c r="AL46" s="81">
        <f t="shared" ca="1" si="16"/>
        <v>-82791.525108170215</v>
      </c>
      <c r="AM46" s="81">
        <f t="shared" ca="1" si="16"/>
        <v>-78990.047838569881</v>
      </c>
      <c r="AN46" s="81">
        <f t="shared" ca="1" si="16"/>
        <v>-84483.100676615359</v>
      </c>
      <c r="AO46" s="81">
        <f t="shared" ca="1" si="16"/>
        <v>-78853.77428743754</v>
      </c>
      <c r="AP46" s="81">
        <f t="shared" ca="1" si="16"/>
        <v>-73610.224442998937</v>
      </c>
      <c r="AQ46" s="81">
        <f t="shared" ca="1" si="16"/>
        <v>-47956.683489187351</v>
      </c>
      <c r="AR46" s="81">
        <f t="shared" ca="1" si="16"/>
        <v>-17571.585301742205</v>
      </c>
      <c r="AS46" s="81">
        <f t="shared" ca="1" si="16"/>
        <v>1136.6285374341476</v>
      </c>
      <c r="AT46" s="81">
        <f t="shared" ca="1" si="16"/>
        <v>19707.311432505234</v>
      </c>
      <c r="AU46" s="81">
        <f t="shared" ca="1" si="16"/>
        <v>38666.477396326809</v>
      </c>
      <c r="AV46" s="81">
        <f t="shared" ca="1" si="16"/>
        <v>49241.033898118025</v>
      </c>
      <c r="AW46" s="81">
        <f t="shared" ca="1" si="16"/>
        <v>64738.451764226847</v>
      </c>
      <c r="AX46" s="81">
        <f t="shared" ca="1" si="16"/>
        <v>79207.410735542799</v>
      </c>
      <c r="AY46" s="81">
        <f t="shared" ca="1" si="16"/>
        <v>89920.611495367804</v>
      </c>
      <c r="AZ46" s="81">
        <f t="shared" ca="1" si="16"/>
        <v>97318.932301188383</v>
      </c>
      <c r="BA46" s="81">
        <f t="shared" ca="1" si="16"/>
        <v>111284.61992711561</v>
      </c>
      <c r="BB46" s="81">
        <f t="shared" ca="1" si="16"/>
        <v>125462.36420604681</v>
      </c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</row>
    <row r="47" spans="1:71" s="75" customFormat="1" x14ac:dyDescent="0.15">
      <c r="C47" s="42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</row>
    <row r="48" spans="1:71" s="75" customFormat="1" x14ac:dyDescent="0.15">
      <c r="A48" s="75" t="s">
        <v>1</v>
      </c>
      <c r="C48" s="42">
        <f t="shared" ref="C48:F48" ca="1" si="17">SUMIFS($G48:$BB48,$G$2:$BB$2,C$3)</f>
        <v>-546068.95040058892</v>
      </c>
      <c r="D48" s="81">
        <f t="shared" ca="1" si="17"/>
        <v>-1615625.2889011656</v>
      </c>
      <c r="E48" s="81">
        <f t="shared" ca="1" si="17"/>
        <v>-2010913.5478922676</v>
      </c>
      <c r="F48" s="81">
        <f t="shared" ca="1" si="17"/>
        <v>1079288.9211054656</v>
      </c>
      <c r="G48" s="81">
        <f ca="1">G39-G46</f>
        <v>-40860.006958333339</v>
      </c>
      <c r="H48" s="81">
        <f t="shared" ref="H48:BB48" ca="1" si="18">H39-H46</f>
        <v>-40527.860588009498</v>
      </c>
      <c r="I48" s="81">
        <f t="shared" ca="1" si="18"/>
        <v>-40356.082860997129</v>
      </c>
      <c r="J48" s="81">
        <f t="shared" ca="1" si="18"/>
        <v>-40050.795611345951</v>
      </c>
      <c r="K48" s="81">
        <f t="shared" ca="1" si="18"/>
        <v>-39887.752984944556</v>
      </c>
      <c r="L48" s="81">
        <f t="shared" ca="1" si="18"/>
        <v>-39795.480554892856</v>
      </c>
      <c r="M48" s="81">
        <f t="shared" ca="1" si="18"/>
        <v>-54730.024125897122</v>
      </c>
      <c r="N48" s="81">
        <f t="shared" ca="1" si="18"/>
        <v>-52672.767214193605</v>
      </c>
      <c r="O48" s="81">
        <f t="shared" ca="1" si="18"/>
        <v>-50554.935490754724</v>
      </c>
      <c r="P48" s="81">
        <f t="shared" ca="1" si="18"/>
        <v>-49451.657980740485</v>
      </c>
      <c r="Q48" s="81">
        <f t="shared" ca="1" si="18"/>
        <v>-48803.224136808341</v>
      </c>
      <c r="R48" s="81">
        <f t="shared" ca="1" si="18"/>
        <v>-48378.361893671252</v>
      </c>
      <c r="S48" s="81">
        <f t="shared" ca="1" si="18"/>
        <v>-142632.66539728755</v>
      </c>
      <c r="T48" s="81">
        <f t="shared" ca="1" si="18"/>
        <v>-131655.31427085729</v>
      </c>
      <c r="U48" s="81">
        <f t="shared" ca="1" si="18"/>
        <v>-123129.37248953877</v>
      </c>
      <c r="V48" s="81">
        <f t="shared" ca="1" si="18"/>
        <v>-127161.14687375768</v>
      </c>
      <c r="W48" s="81">
        <f t="shared" ca="1" si="18"/>
        <v>-122938.06769226033</v>
      </c>
      <c r="X48" s="81">
        <f t="shared" ca="1" si="18"/>
        <v>-119782.57152832826</v>
      </c>
      <c r="Y48" s="81">
        <f t="shared" ca="1" si="18"/>
        <v>-137030.81568128712</v>
      </c>
      <c r="Z48" s="81">
        <f t="shared" ca="1" si="18"/>
        <v>-139705.7982827324</v>
      </c>
      <c r="AA48" s="81">
        <f t="shared" ca="1" si="18"/>
        <v>-135781.72427800152</v>
      </c>
      <c r="AB48" s="81">
        <f t="shared" ca="1" si="18"/>
        <v>-147802.38541793809</v>
      </c>
      <c r="AC48" s="81">
        <f t="shared" ca="1" si="18"/>
        <v>-145177.19877671468</v>
      </c>
      <c r="AD48" s="81">
        <f t="shared" ca="1" si="18"/>
        <v>-142828.22821246198</v>
      </c>
      <c r="AE48" s="81">
        <f t="shared" ca="1" si="18"/>
        <v>-202416.03735711169</v>
      </c>
      <c r="AF48" s="81">
        <f t="shared" ca="1" si="18"/>
        <v>-184564.74376189488</v>
      </c>
      <c r="AG48" s="81">
        <f t="shared" ca="1" si="18"/>
        <v>-170961.95996979979</v>
      </c>
      <c r="AH48" s="81">
        <f t="shared" ca="1" si="18"/>
        <v>-182110.57439793047</v>
      </c>
      <c r="AI48" s="81">
        <f t="shared" ca="1" si="18"/>
        <v>-173660.29247088134</v>
      </c>
      <c r="AJ48" s="81">
        <f t="shared" ca="1" si="18"/>
        <v>-166705.13415860379</v>
      </c>
      <c r="AK48" s="81">
        <f t="shared" ca="1" si="18"/>
        <v>-166784.41426186083</v>
      </c>
      <c r="AL48" s="81">
        <f t="shared" ca="1" si="18"/>
        <v>-158398.54662945896</v>
      </c>
      <c r="AM48" s="81">
        <f t="shared" ca="1" si="18"/>
        <v>-151338.66027162978</v>
      </c>
      <c r="AN48" s="81">
        <f t="shared" ca="1" si="18"/>
        <v>-161540.04411371425</v>
      </c>
      <c r="AO48" s="81">
        <f t="shared" ca="1" si="18"/>
        <v>-151085.58081952686</v>
      </c>
      <c r="AP48" s="81">
        <f t="shared" ca="1" si="18"/>
        <v>-141347.55967985519</v>
      </c>
      <c r="AQ48" s="81">
        <f t="shared" ca="1" si="18"/>
        <v>-93705.269337062229</v>
      </c>
      <c r="AR48" s="81">
        <f t="shared" ca="1" si="18"/>
        <v>-37275.801274664103</v>
      </c>
      <c r="AS48" s="81">
        <f t="shared" ca="1" si="18"/>
        <v>-2531.9755733365837</v>
      </c>
      <c r="AT48" s="81">
        <f t="shared" ca="1" si="18"/>
        <v>31956.435517509726</v>
      </c>
      <c r="AU48" s="81">
        <f t="shared" ca="1" si="18"/>
        <v>67166.315164606931</v>
      </c>
      <c r="AV48" s="81">
        <f t="shared" ca="1" si="18"/>
        <v>86804.777239362054</v>
      </c>
      <c r="AW48" s="81">
        <f t="shared" ca="1" si="18"/>
        <v>115585.69613356415</v>
      </c>
      <c r="AX48" s="81">
        <f t="shared" ca="1" si="18"/>
        <v>142456.61993743663</v>
      </c>
      <c r="AY48" s="81">
        <f t="shared" ca="1" si="18"/>
        <v>162352.5642056831</v>
      </c>
      <c r="AZ48" s="81">
        <f t="shared" ca="1" si="18"/>
        <v>176092.30284506417</v>
      </c>
      <c r="BA48" s="81">
        <f t="shared" ca="1" si="18"/>
        <v>202028.57986464328</v>
      </c>
      <c r="BB48" s="81">
        <f t="shared" ca="1" si="18"/>
        <v>228358.67638265842</v>
      </c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</row>
    <row r="49" spans="1:71" x14ac:dyDescent="0.15">
      <c r="A49" s="54" t="s">
        <v>46</v>
      </c>
      <c r="G49" s="7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s="74" customFormat="1" x14ac:dyDescent="0.15">
      <c r="A50" s="70"/>
      <c r="B50" s="70"/>
      <c r="C50" s="83"/>
      <c r="D50" s="70"/>
      <c r="E50" s="70"/>
      <c r="F50" s="70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9"/>
      <c r="BD50" s="79"/>
      <c r="BE50" s="79"/>
      <c r="BF50" s="79"/>
      <c r="BG50" s="79"/>
      <c r="BH50" s="79"/>
      <c r="BI50" s="79"/>
      <c r="BJ50" s="79"/>
      <c r="BK50" s="79"/>
      <c r="BL50" s="79"/>
    </row>
    <row r="51" spans="1:71" s="74" customFormat="1" x14ac:dyDescent="0.15">
      <c r="A51" s="70"/>
      <c r="B51" s="70"/>
      <c r="C51" s="83"/>
      <c r="D51" s="70"/>
      <c r="E51" s="70"/>
      <c r="F51" s="70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1" s="74" customFormat="1" x14ac:dyDescent="0.15">
      <c r="A52" s="70"/>
      <c r="B52" s="70"/>
      <c r="C52" s="83"/>
      <c r="D52" s="70"/>
      <c r="E52" s="70"/>
      <c r="F52" s="70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69" spans="1:71" x14ac:dyDescent="0.15">
      <c r="A69" s="54" t="s">
        <v>46</v>
      </c>
      <c r="G69" s="7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15">
      <c r="A70" s="54" t="s">
        <v>46</v>
      </c>
      <c r="G70" s="7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15">
      <c r="A71" s="54" t="s">
        <v>46</v>
      </c>
      <c r="G71" s="7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15">
      <c r="A72" s="54" t="s">
        <v>46</v>
      </c>
      <c r="G72" s="7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15">
      <c r="A73" s="54" t="s">
        <v>46</v>
      </c>
      <c r="G73" s="7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15">
      <c r="A74" s="54" t="s">
        <v>46</v>
      </c>
      <c r="G74" s="7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15">
      <c r="A75" s="54" t="s">
        <v>46</v>
      </c>
      <c r="G75" s="7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15">
      <c r="A76" s="54" t="s">
        <v>46</v>
      </c>
    </row>
    <row r="77" spans="1:71" x14ac:dyDescent="0.15">
      <c r="A77" s="54" t="s">
        <v>46</v>
      </c>
    </row>
    <row r="78" spans="1:71" x14ac:dyDescent="0.15">
      <c r="A78" s="54" t="s">
        <v>46</v>
      </c>
    </row>
    <row r="79" spans="1:71" x14ac:dyDescent="0.15">
      <c r="A79" s="54" t="s">
        <v>46</v>
      </c>
    </row>
    <row r="80" spans="1:71" x14ac:dyDescent="0.15">
      <c r="A80" s="54" t="s">
        <v>46</v>
      </c>
    </row>
    <row r="81" spans="1:1" x14ac:dyDescent="0.15">
      <c r="A81" s="54" t="s">
        <v>46</v>
      </c>
    </row>
    <row r="82" spans="1:1" x14ac:dyDescent="0.15">
      <c r="A82" s="54" t="s">
        <v>46</v>
      </c>
    </row>
    <row r="83" spans="1:1" x14ac:dyDescent="0.15">
      <c r="A83" s="54" t="s">
        <v>46</v>
      </c>
    </row>
    <row r="84" spans="1:1" x14ac:dyDescent="0.15">
      <c r="A84" s="54" t="s">
        <v>46</v>
      </c>
    </row>
    <row r="85" spans="1:1" x14ac:dyDescent="0.15">
      <c r="A85" s="54" t="s">
        <v>46</v>
      </c>
    </row>
    <row r="86" spans="1:1" x14ac:dyDescent="0.15">
      <c r="A86" s="54" t="s">
        <v>46</v>
      </c>
    </row>
    <row r="87" spans="1:1" x14ac:dyDescent="0.15">
      <c r="A87" s="54" t="s">
        <v>46</v>
      </c>
    </row>
    <row r="88" spans="1:1" x14ac:dyDescent="0.15">
      <c r="A88" s="54" t="s">
        <v>46</v>
      </c>
    </row>
    <row r="89" spans="1:1" x14ac:dyDescent="0.15">
      <c r="A89" s="54" t="s">
        <v>46</v>
      </c>
    </row>
    <row r="90" spans="1:1" x14ac:dyDescent="0.15">
      <c r="A90" s="54" t="s">
        <v>46</v>
      </c>
    </row>
    <row r="91" spans="1:1" x14ac:dyDescent="0.15">
      <c r="A91" s="54" t="s">
        <v>46</v>
      </c>
    </row>
    <row r="92" spans="1:1" x14ac:dyDescent="0.15">
      <c r="A92" s="54" t="s">
        <v>46</v>
      </c>
    </row>
    <row r="93" spans="1:1" x14ac:dyDescent="0.15">
      <c r="A93" s="54" t="s">
        <v>46</v>
      </c>
    </row>
    <row r="94" spans="1:1" x14ac:dyDescent="0.15">
      <c r="A94" s="54" t="s">
        <v>46</v>
      </c>
    </row>
    <row r="95" spans="1:1" x14ac:dyDescent="0.15">
      <c r="A95" s="54" t="s">
        <v>46</v>
      </c>
    </row>
    <row r="96" spans="1:1" x14ac:dyDescent="0.15">
      <c r="A96" s="54" t="s">
        <v>46</v>
      </c>
    </row>
    <row r="97" spans="1:1" x14ac:dyDescent="0.15">
      <c r="A97" s="54" t="s">
        <v>46</v>
      </c>
    </row>
    <row r="98" spans="1:1" x14ac:dyDescent="0.15">
      <c r="A98" s="54" t="s">
        <v>46</v>
      </c>
    </row>
    <row r="99" spans="1:1" x14ac:dyDescent="0.15">
      <c r="A99" s="54" t="s">
        <v>46</v>
      </c>
    </row>
    <row r="100" spans="1:1" x14ac:dyDescent="0.15">
      <c r="A100" s="54" t="s">
        <v>46</v>
      </c>
    </row>
    <row r="101" spans="1:1" x14ac:dyDescent="0.15">
      <c r="A101" s="54" t="s">
        <v>46</v>
      </c>
    </row>
    <row r="102" spans="1:1" x14ac:dyDescent="0.15">
      <c r="A102" s="54" t="s">
        <v>46</v>
      </c>
    </row>
    <row r="103" spans="1:1" x14ac:dyDescent="0.15">
      <c r="A103" s="54" t="s">
        <v>46</v>
      </c>
    </row>
    <row r="104" spans="1:1" x14ac:dyDescent="0.15">
      <c r="A104" s="54" t="s">
        <v>46</v>
      </c>
    </row>
    <row r="105" spans="1:1" x14ac:dyDescent="0.15">
      <c r="A105" s="54" t="s">
        <v>46</v>
      </c>
    </row>
    <row r="106" spans="1:1" x14ac:dyDescent="0.15">
      <c r="A106" s="54" t="s">
        <v>46</v>
      </c>
    </row>
    <row r="107" spans="1:1" x14ac:dyDescent="0.15">
      <c r="A107" s="54" t="s">
        <v>46</v>
      </c>
    </row>
    <row r="108" spans="1:1" x14ac:dyDescent="0.15">
      <c r="A108" s="54" t="s">
        <v>46</v>
      </c>
    </row>
    <row r="109" spans="1:1" x14ac:dyDescent="0.15">
      <c r="A109" s="54" t="s">
        <v>46</v>
      </c>
    </row>
    <row r="110" spans="1:1" x14ac:dyDescent="0.15">
      <c r="A110" s="54" t="s">
        <v>46</v>
      </c>
    </row>
    <row r="111" spans="1:1" x14ac:dyDescent="0.15">
      <c r="A111" s="54" t="s">
        <v>46</v>
      </c>
    </row>
    <row r="112" spans="1:1" x14ac:dyDescent="0.15">
      <c r="A112" s="54" t="s">
        <v>46</v>
      </c>
    </row>
    <row r="113" spans="1:1" x14ac:dyDescent="0.15">
      <c r="A113" s="54" t="s">
        <v>46</v>
      </c>
    </row>
    <row r="114" spans="1:1" x14ac:dyDescent="0.15">
      <c r="A114" s="54" t="s">
        <v>46</v>
      </c>
    </row>
    <row r="115" spans="1:1" x14ac:dyDescent="0.15">
      <c r="A115" s="54" t="s">
        <v>46</v>
      </c>
    </row>
    <row r="116" spans="1:1" x14ac:dyDescent="0.15">
      <c r="A116" s="54" t="s">
        <v>46</v>
      </c>
    </row>
    <row r="117" spans="1:1" x14ac:dyDescent="0.15">
      <c r="A117" s="54" t="s">
        <v>46</v>
      </c>
    </row>
    <row r="118" spans="1:1" x14ac:dyDescent="0.15">
      <c r="A118" s="54" t="s">
        <v>46</v>
      </c>
    </row>
    <row r="119" spans="1:1" x14ac:dyDescent="0.15">
      <c r="A119" s="54" t="s">
        <v>46</v>
      </c>
    </row>
    <row r="120" spans="1:1" x14ac:dyDescent="0.15">
      <c r="A120" s="54" t="s">
        <v>46</v>
      </c>
    </row>
    <row r="121" spans="1:1" x14ac:dyDescent="0.15">
      <c r="A121" s="54" t="s">
        <v>46</v>
      </c>
    </row>
    <row r="122" spans="1:1" x14ac:dyDescent="0.15">
      <c r="A122" s="54" t="s">
        <v>46</v>
      </c>
    </row>
    <row r="123" spans="1:1" x14ac:dyDescent="0.15">
      <c r="A123" s="54" t="s">
        <v>46</v>
      </c>
    </row>
    <row r="124" spans="1:1" x14ac:dyDescent="0.15">
      <c r="A124" s="54" t="s">
        <v>46</v>
      </c>
    </row>
    <row r="125" spans="1:1" x14ac:dyDescent="0.15">
      <c r="A125" s="54" t="s">
        <v>46</v>
      </c>
    </row>
    <row r="126" spans="1:1" x14ac:dyDescent="0.15">
      <c r="A126" s="54" t="s">
        <v>46</v>
      </c>
    </row>
    <row r="127" spans="1:1" x14ac:dyDescent="0.15">
      <c r="A127" s="54" t="s">
        <v>46</v>
      </c>
    </row>
    <row r="128" spans="1:1" x14ac:dyDescent="0.15">
      <c r="A128" s="54" t="s">
        <v>46</v>
      </c>
    </row>
    <row r="129" spans="1:1" x14ac:dyDescent="0.15">
      <c r="A129" s="54" t="s">
        <v>46</v>
      </c>
    </row>
    <row r="130" spans="1:1" x14ac:dyDescent="0.15">
      <c r="A130" s="54" t="s">
        <v>46</v>
      </c>
    </row>
    <row r="131" spans="1:1" x14ac:dyDescent="0.15">
      <c r="A131" s="54" t="s">
        <v>46</v>
      </c>
    </row>
    <row r="132" spans="1:1" x14ac:dyDescent="0.15">
      <c r="A132" s="54" t="s">
        <v>46</v>
      </c>
    </row>
    <row r="133" spans="1:1" x14ac:dyDescent="0.15">
      <c r="A133" s="54" t="s">
        <v>46</v>
      </c>
    </row>
    <row r="134" spans="1:1" x14ac:dyDescent="0.15">
      <c r="A134" s="54" t="s">
        <v>46</v>
      </c>
    </row>
    <row r="135" spans="1:1" x14ac:dyDescent="0.15">
      <c r="A135" s="54" t="s">
        <v>46</v>
      </c>
    </row>
    <row r="136" spans="1:1" x14ac:dyDescent="0.15">
      <c r="A136" s="54" t="s">
        <v>46</v>
      </c>
    </row>
    <row r="137" spans="1:1" x14ac:dyDescent="0.15">
      <c r="A137" s="54" t="s">
        <v>46</v>
      </c>
    </row>
    <row r="138" spans="1:1" x14ac:dyDescent="0.15">
      <c r="A138" s="54" t="s">
        <v>46</v>
      </c>
    </row>
    <row r="139" spans="1:1" x14ac:dyDescent="0.15">
      <c r="A139" s="54" t="s">
        <v>46</v>
      </c>
    </row>
    <row r="140" spans="1:1" x14ac:dyDescent="0.15">
      <c r="A140" s="54" t="s">
        <v>46</v>
      </c>
    </row>
    <row r="141" spans="1:1" x14ac:dyDescent="0.15">
      <c r="A141" s="54" t="s">
        <v>46</v>
      </c>
    </row>
    <row r="142" spans="1:1" x14ac:dyDescent="0.15">
      <c r="A142" s="54" t="s">
        <v>46</v>
      </c>
    </row>
    <row r="143" spans="1:1" x14ac:dyDescent="0.15">
      <c r="A143" s="54" t="s">
        <v>46</v>
      </c>
    </row>
    <row r="144" spans="1:1" x14ac:dyDescent="0.15">
      <c r="A144" s="54" t="s">
        <v>46</v>
      </c>
    </row>
    <row r="145" spans="1:1" x14ac:dyDescent="0.15">
      <c r="A145" s="54" t="s">
        <v>46</v>
      </c>
    </row>
    <row r="146" spans="1:1" x14ac:dyDescent="0.15">
      <c r="A146" s="54" t="s">
        <v>46</v>
      </c>
    </row>
    <row r="147" spans="1:1" x14ac:dyDescent="0.15">
      <c r="A147" s="54" t="s">
        <v>46</v>
      </c>
    </row>
    <row r="148" spans="1:1" x14ac:dyDescent="0.15">
      <c r="A148" s="54" t="s">
        <v>46</v>
      </c>
    </row>
  </sheetData>
  <pageMargins left="0.7" right="0.7" top="0.75" bottom="0.75" header="0.3" footer="0.3"/>
  <pageSetup scale="65" fitToWidth="0" fitToHeight="0"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92D050"/>
  </sheetPr>
  <dimension ref="A1:BC87"/>
  <sheetViews>
    <sheetView workbookViewId="0">
      <pane xSplit="6" ySplit="3" topLeftCell="J4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baseColWidth="10" defaultColWidth="8.83203125" defaultRowHeight="13" x14ac:dyDescent="0.15"/>
  <cols>
    <col min="1" max="1" width="39.5" style="54" customWidth="1"/>
    <col min="2" max="2" width="12.5" style="54" customWidth="1"/>
    <col min="3" max="3" width="13.1640625" style="76" customWidth="1"/>
    <col min="4" max="6" width="13.1640625" style="54" customWidth="1"/>
    <col min="7" max="7" width="11.5" style="54" hidden="1" customWidth="1"/>
    <col min="8" max="8" width="11.5" style="54" customWidth="1"/>
    <col min="9" max="55" width="11.5" style="52" customWidth="1"/>
  </cols>
  <sheetData>
    <row r="1" spans="1:55" ht="18" x14ac:dyDescent="0.2">
      <c r="A1" s="206" t="str">
        <f>Main!H1</f>
        <v>BobCo</v>
      </c>
      <c r="B1" s="27"/>
      <c r="C1" s="28" t="s">
        <v>48</v>
      </c>
      <c r="D1" s="29"/>
      <c r="E1" s="29"/>
      <c r="F1" s="29"/>
      <c r="G1" s="30" t="s">
        <v>56</v>
      </c>
      <c r="H1" s="30" t="s">
        <v>56</v>
      </c>
      <c r="I1" s="31"/>
      <c r="J1" s="31"/>
      <c r="K1" s="31"/>
      <c r="L1" s="30"/>
      <c r="M1" s="3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</row>
    <row r="2" spans="1:55" ht="16" x14ac:dyDescent="0.2">
      <c r="A2" s="332" t="s">
        <v>22</v>
      </c>
      <c r="B2" s="16"/>
      <c r="D2" s="33"/>
      <c r="E2" s="33"/>
      <c r="F2" s="33"/>
      <c r="G2" s="34">
        <f t="shared" ref="G2:BC2" si="0">YEAR(G3)</f>
        <v>2018</v>
      </c>
      <c r="H2" s="34">
        <f t="shared" si="0"/>
        <v>2019</v>
      </c>
      <c r="I2" s="35">
        <f t="shared" si="0"/>
        <v>2019</v>
      </c>
      <c r="J2" s="35">
        <f t="shared" si="0"/>
        <v>2019</v>
      </c>
      <c r="K2" s="35">
        <f t="shared" si="0"/>
        <v>2019</v>
      </c>
      <c r="L2" s="35">
        <f t="shared" si="0"/>
        <v>2019</v>
      </c>
      <c r="M2" s="35">
        <f t="shared" si="0"/>
        <v>2019</v>
      </c>
      <c r="N2" s="35">
        <f t="shared" si="0"/>
        <v>2019</v>
      </c>
      <c r="O2" s="35">
        <f t="shared" si="0"/>
        <v>2019</v>
      </c>
      <c r="P2" s="35">
        <f t="shared" si="0"/>
        <v>2019</v>
      </c>
      <c r="Q2" s="35">
        <f t="shared" si="0"/>
        <v>2019</v>
      </c>
      <c r="R2" s="35">
        <f t="shared" si="0"/>
        <v>2019</v>
      </c>
      <c r="S2" s="35">
        <f t="shared" si="0"/>
        <v>2019</v>
      </c>
      <c r="T2" s="35">
        <f t="shared" si="0"/>
        <v>2020</v>
      </c>
      <c r="U2" s="35">
        <f t="shared" si="0"/>
        <v>2020</v>
      </c>
      <c r="V2" s="35">
        <f t="shared" si="0"/>
        <v>2020</v>
      </c>
      <c r="W2" s="35">
        <f t="shared" si="0"/>
        <v>2020</v>
      </c>
      <c r="X2" s="35">
        <f t="shared" si="0"/>
        <v>2020</v>
      </c>
      <c r="Y2" s="35">
        <f t="shared" si="0"/>
        <v>2020</v>
      </c>
      <c r="Z2" s="35">
        <f t="shared" si="0"/>
        <v>2020</v>
      </c>
      <c r="AA2" s="35">
        <f t="shared" si="0"/>
        <v>2020</v>
      </c>
      <c r="AB2" s="35">
        <f t="shared" si="0"/>
        <v>2020</v>
      </c>
      <c r="AC2" s="35">
        <f t="shared" si="0"/>
        <v>2020</v>
      </c>
      <c r="AD2" s="35">
        <f t="shared" si="0"/>
        <v>2020</v>
      </c>
      <c r="AE2" s="35">
        <f t="shared" si="0"/>
        <v>2020</v>
      </c>
      <c r="AF2" s="35">
        <f t="shared" si="0"/>
        <v>2021</v>
      </c>
      <c r="AG2" s="35">
        <f t="shared" si="0"/>
        <v>2021</v>
      </c>
      <c r="AH2" s="35">
        <f t="shared" si="0"/>
        <v>2021</v>
      </c>
      <c r="AI2" s="35">
        <f t="shared" si="0"/>
        <v>2021</v>
      </c>
      <c r="AJ2" s="35">
        <f t="shared" si="0"/>
        <v>2021</v>
      </c>
      <c r="AK2" s="35">
        <f t="shared" si="0"/>
        <v>2021</v>
      </c>
      <c r="AL2" s="35">
        <f t="shared" si="0"/>
        <v>2021</v>
      </c>
      <c r="AM2" s="35">
        <f t="shared" si="0"/>
        <v>2021</v>
      </c>
      <c r="AN2" s="35">
        <f t="shared" si="0"/>
        <v>2021</v>
      </c>
      <c r="AO2" s="35">
        <f t="shared" si="0"/>
        <v>2021</v>
      </c>
      <c r="AP2" s="35">
        <f t="shared" si="0"/>
        <v>2021</v>
      </c>
      <c r="AQ2" s="35">
        <f t="shared" si="0"/>
        <v>2021</v>
      </c>
      <c r="AR2" s="35">
        <f t="shared" si="0"/>
        <v>2022</v>
      </c>
      <c r="AS2" s="35">
        <f t="shared" si="0"/>
        <v>2022</v>
      </c>
      <c r="AT2" s="35">
        <f t="shared" si="0"/>
        <v>2022</v>
      </c>
      <c r="AU2" s="35">
        <f t="shared" si="0"/>
        <v>2022</v>
      </c>
      <c r="AV2" s="35">
        <f t="shared" si="0"/>
        <v>2022</v>
      </c>
      <c r="AW2" s="35">
        <f t="shared" si="0"/>
        <v>2022</v>
      </c>
      <c r="AX2" s="35">
        <f t="shared" si="0"/>
        <v>2022</v>
      </c>
      <c r="AY2" s="35">
        <f t="shared" si="0"/>
        <v>2022</v>
      </c>
      <c r="AZ2" s="35">
        <f t="shared" si="0"/>
        <v>2022</v>
      </c>
      <c r="BA2" s="35">
        <f t="shared" si="0"/>
        <v>2022</v>
      </c>
      <c r="BB2" s="35">
        <f t="shared" si="0"/>
        <v>2022</v>
      </c>
      <c r="BC2" s="35">
        <f t="shared" si="0"/>
        <v>2022</v>
      </c>
    </row>
    <row r="3" spans="1:55" x14ac:dyDescent="0.15">
      <c r="A3" s="53"/>
      <c r="B3" s="36" t="s">
        <v>5</v>
      </c>
      <c r="C3" s="37">
        <f>YEAR(Main!$H$2)</f>
        <v>2019</v>
      </c>
      <c r="D3" s="38">
        <f>C3+1</f>
        <v>2020</v>
      </c>
      <c r="E3" s="38">
        <f t="shared" ref="E3:F3" si="1">D3+1</f>
        <v>2021</v>
      </c>
      <c r="F3" s="38">
        <f t="shared" si="1"/>
        <v>2022</v>
      </c>
      <c r="G3" s="39">
        <f>EOMONTH(Main!$H$2,-1)</f>
        <v>43465</v>
      </c>
      <c r="H3" s="40">
        <f>EOMONTH(G3,1)</f>
        <v>43496</v>
      </c>
      <c r="I3" s="40">
        <f>EOMONTH(H3,1)</f>
        <v>43524</v>
      </c>
      <c r="J3" s="40">
        <f>EOMONTH(I3,1)</f>
        <v>43555</v>
      </c>
      <c r="K3" s="40">
        <f t="shared" ref="K3:BC3" si="2">EOMONTH(J3,1)</f>
        <v>43585</v>
      </c>
      <c r="L3" s="40">
        <f t="shared" si="2"/>
        <v>43616</v>
      </c>
      <c r="M3" s="40">
        <f t="shared" si="2"/>
        <v>43646</v>
      </c>
      <c r="N3" s="40">
        <f t="shared" si="2"/>
        <v>43677</v>
      </c>
      <c r="O3" s="40">
        <f t="shared" si="2"/>
        <v>43708</v>
      </c>
      <c r="P3" s="40">
        <f t="shared" si="2"/>
        <v>43738</v>
      </c>
      <c r="Q3" s="40">
        <f t="shared" si="2"/>
        <v>43769</v>
      </c>
      <c r="R3" s="40">
        <f t="shared" si="2"/>
        <v>43799</v>
      </c>
      <c r="S3" s="40">
        <f t="shared" si="2"/>
        <v>43830</v>
      </c>
      <c r="T3" s="40">
        <f t="shared" si="2"/>
        <v>43861</v>
      </c>
      <c r="U3" s="40">
        <f t="shared" si="2"/>
        <v>43890</v>
      </c>
      <c r="V3" s="40">
        <f t="shared" si="2"/>
        <v>43921</v>
      </c>
      <c r="W3" s="40">
        <f t="shared" si="2"/>
        <v>43951</v>
      </c>
      <c r="X3" s="40">
        <f t="shared" si="2"/>
        <v>43982</v>
      </c>
      <c r="Y3" s="40">
        <f t="shared" si="2"/>
        <v>44012</v>
      </c>
      <c r="Z3" s="40">
        <f t="shared" si="2"/>
        <v>44043</v>
      </c>
      <c r="AA3" s="40">
        <f t="shared" si="2"/>
        <v>44074</v>
      </c>
      <c r="AB3" s="40">
        <f t="shared" si="2"/>
        <v>44104</v>
      </c>
      <c r="AC3" s="40">
        <f t="shared" si="2"/>
        <v>44135</v>
      </c>
      <c r="AD3" s="40">
        <f t="shared" si="2"/>
        <v>44165</v>
      </c>
      <c r="AE3" s="40">
        <f t="shared" si="2"/>
        <v>44196</v>
      </c>
      <c r="AF3" s="40">
        <f t="shared" si="2"/>
        <v>44227</v>
      </c>
      <c r="AG3" s="40">
        <f t="shared" si="2"/>
        <v>44255</v>
      </c>
      <c r="AH3" s="40">
        <f t="shared" si="2"/>
        <v>44286</v>
      </c>
      <c r="AI3" s="40">
        <f t="shared" si="2"/>
        <v>44316</v>
      </c>
      <c r="AJ3" s="40">
        <f t="shared" si="2"/>
        <v>44347</v>
      </c>
      <c r="AK3" s="40">
        <f t="shared" si="2"/>
        <v>44377</v>
      </c>
      <c r="AL3" s="40">
        <f t="shared" si="2"/>
        <v>44408</v>
      </c>
      <c r="AM3" s="40">
        <f t="shared" si="2"/>
        <v>44439</v>
      </c>
      <c r="AN3" s="40">
        <f t="shared" si="2"/>
        <v>44469</v>
      </c>
      <c r="AO3" s="40">
        <f t="shared" si="2"/>
        <v>44500</v>
      </c>
      <c r="AP3" s="40">
        <f t="shared" si="2"/>
        <v>44530</v>
      </c>
      <c r="AQ3" s="40">
        <f t="shared" si="2"/>
        <v>44561</v>
      </c>
      <c r="AR3" s="40">
        <f t="shared" si="2"/>
        <v>44592</v>
      </c>
      <c r="AS3" s="40">
        <f t="shared" si="2"/>
        <v>44620</v>
      </c>
      <c r="AT3" s="40">
        <f t="shared" si="2"/>
        <v>44651</v>
      </c>
      <c r="AU3" s="40">
        <f t="shared" si="2"/>
        <v>44681</v>
      </c>
      <c r="AV3" s="40">
        <f t="shared" si="2"/>
        <v>44712</v>
      </c>
      <c r="AW3" s="40">
        <f t="shared" si="2"/>
        <v>44742</v>
      </c>
      <c r="AX3" s="40">
        <f t="shared" si="2"/>
        <v>44773</v>
      </c>
      <c r="AY3" s="40">
        <f t="shared" si="2"/>
        <v>44804</v>
      </c>
      <c r="AZ3" s="40">
        <f t="shared" si="2"/>
        <v>44834</v>
      </c>
      <c r="BA3" s="40">
        <f t="shared" si="2"/>
        <v>44865</v>
      </c>
      <c r="BB3" s="40">
        <f t="shared" si="2"/>
        <v>44895</v>
      </c>
      <c r="BC3" s="40">
        <f t="shared" si="2"/>
        <v>44926</v>
      </c>
    </row>
    <row r="4" spans="1:55" ht="16" x14ac:dyDescent="0.2">
      <c r="A4" s="204" t="s">
        <v>50</v>
      </c>
      <c r="B4" s="204"/>
      <c r="C4" s="211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</row>
    <row r="5" spans="1:55" x14ac:dyDescent="0.15">
      <c r="A5" s="47" t="s">
        <v>19</v>
      </c>
      <c r="C5" s="172">
        <f ca="1">SUMIFS($G5:$BC5,$G$3:$BC$3,DATE(C$3,12,31))</f>
        <v>4495858.046994227</v>
      </c>
      <c r="D5" s="171">
        <f t="shared" ref="D5:F10" ca="1" si="3">SUMIFS($G5:$BC5,$G$3:$BC$3,DATE(D$3,12,31))</f>
        <v>7082934.4227761179</v>
      </c>
      <c r="E5" s="171">
        <f t="shared" ca="1" si="3"/>
        <v>3988082.2963783159</v>
      </c>
      <c r="F5" s="171">
        <f t="shared" ca="1" si="3"/>
        <v>5364137.3780309446</v>
      </c>
      <c r="G5" s="166">
        <v>0</v>
      </c>
      <c r="H5" s="171">
        <f ca="1">G5+CF!G19</f>
        <v>267319.22541666665</v>
      </c>
      <c r="I5" s="171">
        <f ca="1">H5+CF!H19</f>
        <v>204713.17345794139</v>
      </c>
      <c r="J5" s="171">
        <f ca="1">I5+CF!I19</f>
        <v>142494.75542024401</v>
      </c>
      <c r="K5" s="171">
        <f ca="1">J5+CF!J19</f>
        <v>5080643.3104415191</v>
      </c>
      <c r="L5" s="171">
        <f ca="1">K5+CF!K19</f>
        <v>5019152.1192136034</v>
      </c>
      <c r="M5" s="171">
        <f ca="1">L5+CF!L19</f>
        <v>4957857.3241829593</v>
      </c>
      <c r="N5" s="171">
        <f ca="1">M5+CF!M19</f>
        <v>4885145.3975054286</v>
      </c>
      <c r="O5" s="171">
        <f ca="1">N5+CF!N19</f>
        <v>4802527.8657053588</v>
      </c>
      <c r="P5" s="171">
        <f ca="1">O5+CF!O19</f>
        <v>4723121.9405477066</v>
      </c>
      <c r="Q5" s="171">
        <f ca="1">P5+CF!P19</f>
        <v>4646193.7917234795</v>
      </c>
      <c r="R5" s="171">
        <f ca="1">Q5+CF!Q19</f>
        <v>4570613.1131715188</v>
      </c>
      <c r="S5" s="171">
        <f ca="1">R5+CF!R19</f>
        <v>4495858.046994227</v>
      </c>
      <c r="T5" s="171">
        <f ca="1">S5+CF!S19</f>
        <v>4348926.4875396434</v>
      </c>
      <c r="U5" s="171">
        <f ca="1">T5+CF!T19</f>
        <v>4137935.733948763</v>
      </c>
      <c r="V5" s="171">
        <f ca="1">U5+CF!U19</f>
        <v>3941947.5133638429</v>
      </c>
      <c r="W5" s="171">
        <f ca="1">V5+CF!V19</f>
        <v>3749416.3446228458</v>
      </c>
      <c r="X5" s="171">
        <f ca="1">W5+CF!W19</f>
        <v>3557032.3334182166</v>
      </c>
      <c r="Y5" s="171">
        <f ca="1">X5+CF!X19</f>
        <v>3370324.1494023791</v>
      </c>
      <c r="Z5" s="171">
        <f ca="1">Y5+CF!Y19</f>
        <v>3172775.3900103671</v>
      </c>
      <c r="AA5" s="171">
        <f ca="1">Z5+CF!Z19</f>
        <v>2959901.0715765059</v>
      </c>
      <c r="AB5" s="171">
        <f ca="1">AA5+CF!AA19</f>
        <v>7747987.5926836338</v>
      </c>
      <c r="AC5" s="171">
        <f ca="1">AB5+CF!AB19</f>
        <v>7529845.9698406029</v>
      </c>
      <c r="AD5" s="171">
        <f ca="1">AC5+CF!AC19</f>
        <v>7304477.0589216389</v>
      </c>
      <c r="AE5" s="171">
        <f ca="1">AD5+CF!AD19</f>
        <v>7082934.4227761179</v>
      </c>
      <c r="AF5" s="171">
        <f ca="1">AE5+CF!AE19</f>
        <v>6817361.9107995229</v>
      </c>
      <c r="AG5" s="171">
        <f ca="1">AF5+CF!AF19</f>
        <v>6519684.3868618254</v>
      </c>
      <c r="AH5" s="171">
        <f ca="1">AG5+CF!AG19</f>
        <v>6246202.3070682138</v>
      </c>
      <c r="AI5" s="171">
        <f ca="1">AH5+CF!AH19</f>
        <v>5974608.0498622674</v>
      </c>
      <c r="AJ5" s="171">
        <f ca="1">AI5+CF!AI19</f>
        <v>5700938.152270874</v>
      </c>
      <c r="AK5" s="171">
        <f ca="1">AJ5+CF!AJ19</f>
        <v>5439118.5933251157</v>
      </c>
      <c r="AL5" s="171">
        <f ca="1">AK5+CF!AK19</f>
        <v>5182588.1714632194</v>
      </c>
      <c r="AM5" s="171">
        <f ca="1">AL5+CF!AL19</f>
        <v>4932447.4323160509</v>
      </c>
      <c r="AN5" s="171">
        <f ca="1">AM5+CF!AM19</f>
        <v>4694188.0423921365</v>
      </c>
      <c r="AO5" s="171">
        <f ca="1">AN5+CF!AN19</f>
        <v>4453512.1159418719</v>
      </c>
      <c r="AP5" s="171">
        <f ca="1">AO5+CF!AO19</f>
        <v>4213030.865993225</v>
      </c>
      <c r="AQ5" s="171">
        <f ca="1">AP5+CF!AP19</f>
        <v>3988082.2963783159</v>
      </c>
      <c r="AR5" s="171">
        <f ca="1">AQ5+CF!AQ19</f>
        <v>3807272.4279037639</v>
      </c>
      <c r="AS5" s="171">
        <f ca="1">AR5+CF!AR19</f>
        <v>3706517.7582024359</v>
      </c>
      <c r="AT5" s="171">
        <f ca="1">AS5+CF!AS19</f>
        <v>3675896.3913962818</v>
      </c>
      <c r="AU5" s="171">
        <f ca="1">AT5+CF!AT19</f>
        <v>3698530.5913533377</v>
      </c>
      <c r="AV5" s="171">
        <f ca="1">AU5+CF!AU19</f>
        <v>3774778.861108812</v>
      </c>
      <c r="AW5" s="171">
        <f ca="1">AV5+CF!AV19</f>
        <v>3893218.1629580189</v>
      </c>
      <c r="AX5" s="171">
        <f ca="1">AW5+CF!AW19</f>
        <v>4048903.1424756544</v>
      </c>
      <c r="AY5" s="171">
        <f ca="1">AX5+CF!AX19</f>
        <v>4247397.2317610402</v>
      </c>
      <c r="AZ5" s="171">
        <f ca="1">AY5+CF!AY19</f>
        <v>4481865.8349480554</v>
      </c>
      <c r="BA5" s="171">
        <f ca="1">AZ5+CF!AZ19</f>
        <v>4742208.0403717067</v>
      </c>
      <c r="BB5" s="171">
        <f ca="1">BA5+CF!BA19</f>
        <v>5033070.2578407126</v>
      </c>
      <c r="BC5" s="171">
        <f ca="1">BB5+CF!BB19</f>
        <v>5364137.3780309446</v>
      </c>
    </row>
    <row r="6" spans="1:55" x14ac:dyDescent="0.15">
      <c r="A6" s="47" t="s">
        <v>12</v>
      </c>
      <c r="C6" s="172">
        <f t="shared" ref="C6:C10" ca="1" si="4">SUMIFS($G6:$BC6,$G$3:$BC$3,DATE(C$3,12,31))</f>
        <v>7934.4495787698324</v>
      </c>
      <c r="D6" s="171">
        <f t="shared" ca="1" si="3"/>
        <v>61389.104523274043</v>
      </c>
      <c r="E6" s="171">
        <f t="shared" ca="1" si="3"/>
        <v>175929.89359797121</v>
      </c>
      <c r="F6" s="171">
        <f t="shared" ca="1" si="3"/>
        <v>537727.56135125039</v>
      </c>
      <c r="G6" s="166">
        <v>0</v>
      </c>
      <c r="H6" s="171">
        <f ca="1">Main!$D$86*IS!G9</f>
        <v>502</v>
      </c>
      <c r="I6" s="171">
        <f ca="1">Main!$D$86*IS!H9</f>
        <v>765.39918344475711</v>
      </c>
      <c r="J6" s="171">
        <f ca="1">Main!$D$86*IS!I9</f>
        <v>901.62259899778553</v>
      </c>
      <c r="K6" s="171">
        <f ca="1">Main!$D$86*IS!J9</f>
        <v>1143.721924652963</v>
      </c>
      <c r="L6" s="171">
        <f ca="1">Main!$D$86*IS!K9</f>
        <v>1273.018218389195</v>
      </c>
      <c r="M6" s="171">
        <f ca="1">Main!$D$86*IS!L9</f>
        <v>1346.1922311185367</v>
      </c>
      <c r="N6" s="171">
        <f ca="1">Main!$D$86*IS!M9</f>
        <v>2897.445429502689</v>
      </c>
      <c r="O6" s="171">
        <f ca="1">Main!$D$86*IS!N9</f>
        <v>4528.8942096006367</v>
      </c>
      <c r="P6" s="171">
        <f ca="1">Main!$D$86*IS!O9</f>
        <v>6208.3801124070442</v>
      </c>
      <c r="Q6" s="171">
        <f ca="1">Main!$D$86*IS!P9</f>
        <v>7083.3028007609282</v>
      </c>
      <c r="R6" s="171">
        <f ca="1">Main!$D$86*IS!Q9</f>
        <v>7597.5247229910201</v>
      </c>
      <c r="S6" s="171">
        <f ca="1">Main!$D$86*IS!R9</f>
        <v>7934.4495787698324</v>
      </c>
      <c r="T6" s="171">
        <f ca="1">Main!$D$86*IS!S9</f>
        <v>19610.189729219495</v>
      </c>
      <c r="U6" s="171">
        <f ca="1">Main!$D$86*IS!T9</f>
        <v>28315.464214889809</v>
      </c>
      <c r="V6" s="171">
        <f ca="1">Main!$D$86*IS!U9</f>
        <v>35076.718601343819</v>
      </c>
      <c r="W6" s="171">
        <f ca="1">Main!$D$86*IS!V9</f>
        <v>39748.022655789602</v>
      </c>
      <c r="X6" s="171">
        <f ca="1">Main!$D$86*IS!W9</f>
        <v>43104.426000091415</v>
      </c>
      <c r="Y6" s="171">
        <f ca="1">Main!$D$86*IS!X9</f>
        <v>45619.767701113393</v>
      </c>
      <c r="Z6" s="171">
        <f ca="1">Main!$D$86*IS!Y9</f>
        <v>48443.421886180084</v>
      </c>
      <c r="AA6" s="171">
        <f ca="1">Main!$D$86*IS!Z9</f>
        <v>51499.416284880172</v>
      </c>
      <c r="AB6" s="171">
        <f ca="1">Main!$D$86*IS!AA9</f>
        <v>54737.962904466112</v>
      </c>
      <c r="AC6" s="171">
        <f ca="1">Main!$D$86*IS!AB9</f>
        <v>57289.907562176428</v>
      </c>
      <c r="AD6" s="171">
        <f ca="1">Main!$D$86*IS!AC9</f>
        <v>59453.779445799228</v>
      </c>
      <c r="AE6" s="171">
        <f ca="1">Main!$D$86*IS!AD9</f>
        <v>61389.104523274043</v>
      </c>
      <c r="AF6" s="171">
        <f ca="1">Main!$D$86*IS!AE9</f>
        <v>81071.331607731365</v>
      </c>
      <c r="AG6" s="171">
        <f ca="1">Main!$D$86*IS!AF9</f>
        <v>95824.419701404884</v>
      </c>
      <c r="AH6" s="171">
        <f ca="1">Main!$D$86*IS!AG9</f>
        <v>107062.06204882472</v>
      </c>
      <c r="AI6" s="171">
        <f ca="1">Main!$D$86*IS!AH9</f>
        <v>115801.48181475952</v>
      </c>
      <c r="AJ6" s="171">
        <f ca="1">Main!$D$86*IS!AI9</f>
        <v>122775.68950735567</v>
      </c>
      <c r="AK6" s="171">
        <f ca="1">Main!$D$86*IS!AJ9</f>
        <v>128512.76889197972</v>
      </c>
      <c r="AL6" s="171">
        <f ca="1">Main!$D$86*IS!AK9</f>
        <v>137007.51153731105</v>
      </c>
      <c r="AM6" s="171">
        <f ca="1">Main!$D$86*IS!AL9</f>
        <v>143926.52165145779</v>
      </c>
      <c r="AN6" s="171">
        <f ca="1">Main!$D$86*IS!AM9</f>
        <v>149748.36940007782</v>
      </c>
      <c r="AO6" s="171">
        <f ca="1">Main!$D$86*IS!AN9</f>
        <v>159267.33775054314</v>
      </c>
      <c r="AP6" s="171">
        <f ca="1">Main!$D$86*IS!AO9</f>
        <v>167895.23650257257</v>
      </c>
      <c r="AQ6" s="171">
        <f ca="1">Main!$D$86*IS!AP9</f>
        <v>175929.89359797121</v>
      </c>
      <c r="AR6" s="171">
        <f ca="1">Main!$D$86*IS!AQ9</f>
        <v>233099.48495521749</v>
      </c>
      <c r="AS6" s="171">
        <f ca="1">Main!$D$86*IS!AR9</f>
        <v>279739.76560921851</v>
      </c>
      <c r="AT6" s="171">
        <f ca="1">Main!$D$86*IS!AS9</f>
        <v>318266.17794706131</v>
      </c>
      <c r="AU6" s="171">
        <f ca="1">Main!$D$86*IS!AT9</f>
        <v>351401.62010048318</v>
      </c>
      <c r="AV6" s="171">
        <f ca="1">Main!$D$86*IS!AU9</f>
        <v>380478.25418391562</v>
      </c>
      <c r="AW6" s="171">
        <f ca="1">Main!$D$86*IS!AV9</f>
        <v>406500.45629519661</v>
      </c>
      <c r="AX6" s="171">
        <f ca="1">Main!$D$86*IS!AW9</f>
        <v>430254.40777069452</v>
      </c>
      <c r="AY6" s="171">
        <f ca="1">Main!$D$86*IS!AX9</f>
        <v>452426.54056728818</v>
      </c>
      <c r="AZ6" s="171">
        <f ca="1">Main!$D$86*IS!AY9</f>
        <v>473479.94792192068</v>
      </c>
      <c r="BA6" s="171">
        <f ca="1">Main!$D$86*IS!AZ9</f>
        <v>494615.38111504726</v>
      </c>
      <c r="BB6" s="171">
        <f ca="1">Main!$D$86*IS!BA9</f>
        <v>516009.39342394797</v>
      </c>
      <c r="BC6" s="171">
        <f ca="1">Main!$D$86*IS!BB9</f>
        <v>537727.56135125039</v>
      </c>
    </row>
    <row r="7" spans="1:55" x14ac:dyDescent="0.15">
      <c r="A7" s="47" t="s">
        <v>6</v>
      </c>
      <c r="C7" s="172">
        <f t="shared" si="4"/>
        <v>0</v>
      </c>
      <c r="D7" s="171">
        <f t="shared" si="3"/>
        <v>0</v>
      </c>
      <c r="E7" s="171">
        <f t="shared" si="3"/>
        <v>0</v>
      </c>
      <c r="F7" s="171">
        <f t="shared" si="3"/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  <c r="Q7" s="166">
        <v>0</v>
      </c>
      <c r="R7" s="166">
        <v>0</v>
      </c>
      <c r="S7" s="166">
        <v>0</v>
      </c>
      <c r="T7" s="166">
        <v>0</v>
      </c>
      <c r="U7" s="166">
        <v>0</v>
      </c>
      <c r="V7" s="166">
        <v>0</v>
      </c>
      <c r="W7" s="166">
        <v>0</v>
      </c>
      <c r="X7" s="166">
        <v>0</v>
      </c>
      <c r="Y7" s="166">
        <v>0</v>
      </c>
      <c r="Z7" s="166">
        <v>0</v>
      </c>
      <c r="AA7" s="166">
        <v>0</v>
      </c>
      <c r="AB7" s="166">
        <v>0</v>
      </c>
      <c r="AC7" s="166">
        <v>0</v>
      </c>
      <c r="AD7" s="166">
        <v>0</v>
      </c>
      <c r="AE7" s="166">
        <v>0</v>
      </c>
      <c r="AF7" s="166">
        <v>0</v>
      </c>
      <c r="AG7" s="166">
        <v>0</v>
      </c>
      <c r="AH7" s="166">
        <v>0</v>
      </c>
      <c r="AI7" s="166">
        <v>0</v>
      </c>
      <c r="AJ7" s="166">
        <v>0</v>
      </c>
      <c r="AK7" s="166">
        <v>0</v>
      </c>
      <c r="AL7" s="166">
        <v>0</v>
      </c>
      <c r="AM7" s="166">
        <v>0</v>
      </c>
      <c r="AN7" s="166">
        <v>0</v>
      </c>
      <c r="AO7" s="166">
        <v>0</v>
      </c>
      <c r="AP7" s="166">
        <v>0</v>
      </c>
      <c r="AQ7" s="166">
        <v>0</v>
      </c>
      <c r="AR7" s="166">
        <v>0</v>
      </c>
      <c r="AS7" s="166">
        <v>0</v>
      </c>
      <c r="AT7" s="166">
        <v>0</v>
      </c>
      <c r="AU7" s="166">
        <v>0</v>
      </c>
      <c r="AV7" s="166">
        <v>0</v>
      </c>
      <c r="AW7" s="166">
        <v>0</v>
      </c>
      <c r="AX7" s="166">
        <v>0</v>
      </c>
      <c r="AY7" s="166">
        <v>0</v>
      </c>
      <c r="AZ7" s="166">
        <v>0</v>
      </c>
      <c r="BA7" s="166">
        <v>0</v>
      </c>
      <c r="BB7" s="166">
        <v>0</v>
      </c>
      <c r="BC7" s="166">
        <v>0</v>
      </c>
    </row>
    <row r="8" spans="1:55" x14ac:dyDescent="0.15">
      <c r="A8" s="95" t="s">
        <v>219</v>
      </c>
      <c r="C8" s="172">
        <f t="shared" ca="1" si="4"/>
        <v>294037.12713877863</v>
      </c>
      <c r="D8" s="171">
        <f t="shared" ca="1" si="3"/>
        <v>1163989.2057778679</v>
      </c>
      <c r="E8" s="171">
        <f t="shared" ca="1" si="3"/>
        <v>2246788.8084890889</v>
      </c>
      <c r="F8" s="171">
        <f t="shared" ca="1" si="3"/>
        <v>1665633.2355861466</v>
      </c>
      <c r="G8" s="166">
        <v>0</v>
      </c>
      <c r="H8" s="171">
        <f ca="1">IF(IS!G43&lt;0,BS!G8-IS!G43,MAX(BS!G8-IS!G43,0))</f>
        <v>22001.542208333332</v>
      </c>
      <c r="I8" s="171">
        <f ca="1">IF(IS!H43&lt;0,BS!H8-IS!H43,MAX(BS!H8-IS!H43,0))</f>
        <v>43824.236371107676</v>
      </c>
      <c r="J8" s="171">
        <f ca="1">IF(IS!I43&lt;0,BS!I8-IS!I43,MAX(BS!I8-IS!I43,0))</f>
        <v>65554.434834721513</v>
      </c>
      <c r="K8" s="171">
        <f ca="1">IF(IS!J43&lt;0,BS!J8-IS!J43,MAX(BS!J8-IS!J43,0))</f>
        <v>87120.247856215487</v>
      </c>
      <c r="L8" s="171">
        <f ca="1">IF(IS!K43&lt;0,BS!K8-IS!K43,MAX(BS!K8-IS!K43,0))</f>
        <v>108598.26869426256</v>
      </c>
      <c r="M8" s="171">
        <f ca="1">IF(IS!L43&lt;0,BS!L8-IS!L43,MAX(BS!L8-IS!L43,0))</f>
        <v>130026.6043776664</v>
      </c>
      <c r="N8" s="171">
        <f ca="1">IF(IS!M43&lt;0,BS!M8-IS!M43,MAX(BS!M8-IS!M43,0))</f>
        <v>159496.61736853409</v>
      </c>
      <c r="O8" s="171">
        <f ca="1">IF(IS!N43&lt;0,BS!N8-IS!N43,MAX(BS!N8-IS!N43,0))</f>
        <v>187858.87663771526</v>
      </c>
      <c r="P8" s="171">
        <f ca="1">IF(IS!O43&lt;0,BS!O8-IS!O43,MAX(BS!O8-IS!O43,0))</f>
        <v>215080.76497889089</v>
      </c>
      <c r="Q8" s="171">
        <f ca="1">IF(IS!P43&lt;0,BS!P8-IS!P43,MAX(BS!P8-IS!P43,0))</f>
        <v>241708.58081467423</v>
      </c>
      <c r="R8" s="171">
        <f ca="1">IF(IS!Q43&lt;0,BS!Q8-IS!Q43,MAX(BS!Q8-IS!Q43,0))</f>
        <v>267987.23996526335</v>
      </c>
      <c r="S8" s="171">
        <f ca="1">IF(IS!R43&lt;0,BS!R8-IS!R43,MAX(BS!R8-IS!R43,0))</f>
        <v>294037.12713877863</v>
      </c>
      <c r="T8" s="171">
        <f ca="1">IF(IS!S43&lt;0,BS!S8-IS!S43,MAX(BS!S8-IS!S43,0))</f>
        <v>370839.33158347191</v>
      </c>
      <c r="U8" s="171">
        <f ca="1">IF(IS!T43&lt;0,BS!T8-IS!T43,MAX(BS!T8-IS!T43,0))</f>
        <v>441730.65465239505</v>
      </c>
      <c r="V8" s="171">
        <f ca="1">IF(IS!U43&lt;0,BS!U8-IS!U43,MAX(BS!U8-IS!U43,0))</f>
        <v>508031.08599291591</v>
      </c>
      <c r="W8" s="171">
        <f ca="1">IF(IS!V43&lt;0,BS!V8-IS!V43,MAX(BS!V8-IS!V43,0))</f>
        <v>576502.47277109313</v>
      </c>
      <c r="X8" s="171">
        <f ca="1">IF(IS!W43&lt;0,BS!W8-IS!W43,MAX(BS!W8-IS!W43,0))</f>
        <v>642699.89383615635</v>
      </c>
      <c r="Y8" s="171">
        <f ca="1">IF(IS!X43&lt;0,BS!X8-IS!X43,MAX(BS!X8-IS!X43,0))</f>
        <v>707198.20158217929</v>
      </c>
      <c r="Z8" s="171">
        <f ca="1">IF(IS!Y43&lt;0,BS!Y8-IS!Y43,MAX(BS!Y8-IS!Y43,0))</f>
        <v>780984.02541056462</v>
      </c>
      <c r="AA8" s="171">
        <f ca="1">IF(IS!Z43&lt;0,BS!Z8-IS!Z43,MAX(BS!Z8-IS!Z43,0))</f>
        <v>856210.22448588209</v>
      </c>
      <c r="AB8" s="171">
        <f ca="1">IF(IS!AA43&lt;0,BS!AA8-IS!AA43,MAX(BS!AA8-IS!AA43,0))</f>
        <v>929323.46063557523</v>
      </c>
      <c r="AC8" s="171">
        <f ca="1">IF(IS!AB43&lt;0,BS!AB8-IS!AB43,MAX(BS!AB8-IS!AB43,0))</f>
        <v>1008909.3604760035</v>
      </c>
      <c r="AD8" s="171">
        <f ca="1">IF(IS!AC43&lt;0,BS!AC8-IS!AC43,MAX(BS!AC8-IS!AC43,0))</f>
        <v>1087081.6982788499</v>
      </c>
      <c r="AE8" s="171">
        <f ca="1">IF(IS!AD43&lt;0,BS!AD8-IS!AD43,MAX(BS!AD8-IS!AD43,0))</f>
        <v>1163989.2057778679</v>
      </c>
      <c r="AF8" s="171">
        <f ca="1">IF(IS!AE43&lt;0,BS!AE8-IS!AE43,MAX(BS!AE8-IS!AE43,0))</f>
        <v>1272982.4566624665</v>
      </c>
      <c r="AG8" s="171">
        <f ca="1">IF(IS!AF43&lt;0,BS!AF8-IS!AF43,MAX(BS!AF8-IS!AF43,0))</f>
        <v>1372363.4725342561</v>
      </c>
      <c r="AH8" s="171">
        <f ca="1">IF(IS!AG43&lt;0,BS!AG8-IS!AG43,MAX(BS!AG8-IS!AG43,0))</f>
        <v>1464419.9125179944</v>
      </c>
      <c r="AI8" s="171">
        <f ca="1">IF(IS!AH43&lt;0,BS!AH8-IS!AH43,MAX(BS!AH8-IS!AH43,0))</f>
        <v>1562479.4525784184</v>
      </c>
      <c r="AJ8" s="171">
        <f ca="1">IF(IS!AI43&lt;0,BS!AI8-IS!AI43,MAX(BS!AI8-IS!AI43,0))</f>
        <v>1655988.8408319699</v>
      </c>
      <c r="AK8" s="171">
        <f ca="1">IF(IS!AJ43&lt;0,BS!AJ8-IS!AJ43,MAX(BS!AJ8-IS!AJ43,0))</f>
        <v>1745753.1438404489</v>
      </c>
      <c r="AL8" s="171">
        <f ca="1">IF(IS!AK43&lt;0,BS!AK8-IS!AK43,MAX(BS!AK8-IS!AK43,0))</f>
        <v>1835560.1361352971</v>
      </c>
      <c r="AM8" s="171">
        <f ca="1">IF(IS!AL43&lt;0,BS!AL8-IS!AL43,MAX(BS!AL8-IS!AL43,0))</f>
        <v>1920851.6612434674</v>
      </c>
      <c r="AN8" s="171">
        <f ca="1">IF(IS!AM43&lt;0,BS!AM8-IS!AM43,MAX(BS!AM8-IS!AM43,0))</f>
        <v>2002341.7090820372</v>
      </c>
      <c r="AO8" s="171">
        <f ca="1">IF(IS!AN43&lt;0,BS!AN8-IS!AN43,MAX(BS!AN8-IS!AN43,0))</f>
        <v>2089324.8097586525</v>
      </c>
      <c r="AP8" s="171">
        <f ca="1">IF(IS!AO43&lt;0,BS!AO8-IS!AO43,MAX(BS!AO8-IS!AO43,0))</f>
        <v>2170678.58404609</v>
      </c>
      <c r="AQ8" s="171">
        <f ca="1">IF(IS!AP43&lt;0,BS!AP8-IS!AP43,MAX(BS!AP8-IS!AP43,0))</f>
        <v>2246788.8084890889</v>
      </c>
      <c r="AR8" s="171">
        <f ca="1">IF(IS!AQ43&lt;0,BS!AQ8-IS!AQ43,MAX(BS!AQ8-IS!AQ43,0))</f>
        <v>2297245.4919782761</v>
      </c>
      <c r="AS8" s="171">
        <f ca="1">IF(IS!AR43&lt;0,BS!AR8-IS!AR43,MAX(BS!AR8-IS!AR43,0))</f>
        <v>2317317.0772800185</v>
      </c>
      <c r="AT8" s="171">
        <f ca="1">IF(IS!AS43&lt;0,BS!AS8-IS!AS43,MAX(BS!AS8-IS!AS43,0))</f>
        <v>2318680.4487425843</v>
      </c>
      <c r="AU8" s="171">
        <f ca="1">IF(IS!AT43&lt;0,BS!AT8-IS!AT43,MAX(BS!AT8-IS!AT43,0))</f>
        <v>2301473.1373100793</v>
      </c>
      <c r="AV8" s="171">
        <f ca="1">IF(IS!AU43&lt;0,BS!AU8-IS!AU43,MAX(BS!AU8-IS!AU43,0))</f>
        <v>2265306.6599137527</v>
      </c>
      <c r="AW8" s="171">
        <f ca="1">IF(IS!AV43&lt;0,BS!AV8-IS!AV43,MAX(BS!AV8-IS!AV43,0))</f>
        <v>2218565.6260156347</v>
      </c>
      <c r="AX8" s="171">
        <f ca="1">IF(IS!AW43&lt;0,BS!AW8-IS!AW43,MAX(BS!AW8-IS!AW43,0))</f>
        <v>2156327.1742514079</v>
      </c>
      <c r="AY8" s="171">
        <f ca="1">IF(IS!AX43&lt;0,BS!AX8-IS!AX43,MAX(BS!AX8-IS!AX43,0))</f>
        <v>2079619.763515865</v>
      </c>
      <c r="AZ8" s="171">
        <f ca="1">IF(IS!AY43&lt;0,BS!AY8-IS!AY43,MAX(BS!AY8-IS!AY43,0))</f>
        <v>1992199.1520204972</v>
      </c>
      <c r="BA8" s="171">
        <f ca="1">IF(IS!AZ43&lt;0,BS!AZ8-IS!AZ43,MAX(BS!AZ8-IS!AZ43,0))</f>
        <v>1897380.2197193089</v>
      </c>
      <c r="BB8" s="171">
        <f ca="1">IF(IS!BA43&lt;0,BS!BA8-IS!BA43,MAX(BS!BA8-IS!BA43,0))</f>
        <v>1788595.5997921934</v>
      </c>
      <c r="BC8" s="171">
        <f ca="1">IF(IS!BB43&lt;0,BS!BB8-IS!BB43,MAX(BS!BB8-IS!BB43,0))</f>
        <v>1665633.2355861466</v>
      </c>
    </row>
    <row r="9" spans="1:55" x14ac:dyDescent="0.15">
      <c r="A9" s="47" t="s">
        <v>13</v>
      </c>
      <c r="C9" s="172">
        <f t="shared" si="4"/>
        <v>0</v>
      </c>
      <c r="D9" s="171">
        <f t="shared" si="3"/>
        <v>0</v>
      </c>
      <c r="E9" s="171">
        <f t="shared" si="3"/>
        <v>0</v>
      </c>
      <c r="F9" s="171">
        <f t="shared" si="3"/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  <c r="R9" s="166">
        <v>0</v>
      </c>
      <c r="S9" s="166">
        <v>0</v>
      </c>
      <c r="T9" s="166">
        <v>0</v>
      </c>
      <c r="U9" s="166">
        <v>0</v>
      </c>
      <c r="V9" s="166">
        <v>0</v>
      </c>
      <c r="W9" s="166">
        <v>0</v>
      </c>
      <c r="X9" s="166">
        <v>0</v>
      </c>
      <c r="Y9" s="166">
        <v>0</v>
      </c>
      <c r="Z9" s="166">
        <v>0</v>
      </c>
      <c r="AA9" s="166">
        <v>0</v>
      </c>
      <c r="AB9" s="166">
        <v>0</v>
      </c>
      <c r="AC9" s="166">
        <v>0</v>
      </c>
      <c r="AD9" s="166">
        <v>0</v>
      </c>
      <c r="AE9" s="166">
        <v>0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66">
        <v>0</v>
      </c>
      <c r="AP9" s="166">
        <v>0</v>
      </c>
      <c r="AQ9" s="166">
        <v>0</v>
      </c>
      <c r="AR9" s="166">
        <v>0</v>
      </c>
      <c r="AS9" s="166">
        <v>0</v>
      </c>
      <c r="AT9" s="166">
        <v>0</v>
      </c>
      <c r="AU9" s="166">
        <v>0</v>
      </c>
      <c r="AV9" s="166">
        <v>0</v>
      </c>
      <c r="AW9" s="166">
        <v>0</v>
      </c>
      <c r="AX9" s="166">
        <v>0</v>
      </c>
      <c r="AY9" s="166">
        <v>0</v>
      </c>
      <c r="AZ9" s="166">
        <v>0</v>
      </c>
      <c r="BA9" s="166">
        <v>0</v>
      </c>
      <c r="BB9" s="166">
        <v>0</v>
      </c>
      <c r="BC9" s="166">
        <v>0</v>
      </c>
    </row>
    <row r="10" spans="1:55" x14ac:dyDescent="0.15">
      <c r="A10" s="59" t="s">
        <v>51</v>
      </c>
      <c r="B10" s="59"/>
      <c r="C10" s="297">
        <f t="shared" ca="1" si="4"/>
        <v>4797829.6237117751</v>
      </c>
      <c r="D10" s="236">
        <f t="shared" ca="1" si="3"/>
        <v>8308312.7330772597</v>
      </c>
      <c r="E10" s="236">
        <f t="shared" ca="1" si="3"/>
        <v>6410800.998465376</v>
      </c>
      <c r="F10" s="236">
        <f t="shared" ca="1" si="3"/>
        <v>7567498.1749683423</v>
      </c>
      <c r="G10" s="236">
        <f>SUM(G5:G9)</f>
        <v>0</v>
      </c>
      <c r="H10" s="236">
        <f t="shared" ref="H10:BC10" ca="1" si="5">SUM(H5:H9)</f>
        <v>289822.76762499998</v>
      </c>
      <c r="I10" s="236">
        <f t="shared" ca="1" si="5"/>
        <v>249302.80901249382</v>
      </c>
      <c r="J10" s="236">
        <f t="shared" ca="1" si="5"/>
        <v>208950.81285396329</v>
      </c>
      <c r="K10" s="236">
        <f t="shared" ca="1" si="5"/>
        <v>5168907.280222388</v>
      </c>
      <c r="L10" s="236">
        <f t="shared" ca="1" si="5"/>
        <v>5129023.4061262552</v>
      </c>
      <c r="M10" s="236">
        <f t="shared" ca="1" si="5"/>
        <v>5089230.1207917444</v>
      </c>
      <c r="N10" s="236">
        <f t="shared" ca="1" si="5"/>
        <v>5047539.4603034658</v>
      </c>
      <c r="O10" s="236">
        <f t="shared" ca="1" si="5"/>
        <v>4994915.6365526747</v>
      </c>
      <c r="P10" s="236">
        <f t="shared" ca="1" si="5"/>
        <v>4944411.0856390046</v>
      </c>
      <c r="Q10" s="236">
        <f t="shared" ca="1" si="5"/>
        <v>4894985.6753389146</v>
      </c>
      <c r="R10" s="236">
        <f t="shared" ca="1" si="5"/>
        <v>4846197.8778597731</v>
      </c>
      <c r="S10" s="236">
        <f t="shared" ca="1" si="5"/>
        <v>4797829.6237117751</v>
      </c>
      <c r="T10" s="236">
        <f t="shared" ca="1" si="5"/>
        <v>4739376.0088523347</v>
      </c>
      <c r="U10" s="236">
        <f t="shared" ca="1" si="5"/>
        <v>4607981.8528160481</v>
      </c>
      <c r="V10" s="236">
        <f t="shared" ca="1" si="5"/>
        <v>4485055.3179581026</v>
      </c>
      <c r="W10" s="236">
        <f t="shared" ca="1" si="5"/>
        <v>4365666.8400497288</v>
      </c>
      <c r="X10" s="236">
        <f t="shared" ca="1" si="5"/>
        <v>4242836.6532544643</v>
      </c>
      <c r="Y10" s="236">
        <f t="shared" ca="1" si="5"/>
        <v>4123142.1186856721</v>
      </c>
      <c r="Z10" s="236">
        <f t="shared" ca="1" si="5"/>
        <v>4002202.8373071118</v>
      </c>
      <c r="AA10" s="236">
        <f t="shared" ca="1" si="5"/>
        <v>3867610.7123472681</v>
      </c>
      <c r="AB10" s="236">
        <f t="shared" ca="1" si="5"/>
        <v>8732049.0162236746</v>
      </c>
      <c r="AC10" s="236">
        <f t="shared" ca="1" si="5"/>
        <v>8596045.2378787827</v>
      </c>
      <c r="AD10" s="236">
        <f t="shared" ca="1" si="5"/>
        <v>8451012.5366462879</v>
      </c>
      <c r="AE10" s="236">
        <f t="shared" ca="1" si="5"/>
        <v>8308312.7330772597</v>
      </c>
      <c r="AF10" s="236">
        <f t="shared" ca="1" si="5"/>
        <v>8171415.6990697207</v>
      </c>
      <c r="AG10" s="236">
        <f t="shared" ca="1" si="5"/>
        <v>7987872.2790974863</v>
      </c>
      <c r="AH10" s="236">
        <f t="shared" ca="1" si="5"/>
        <v>7817684.281635033</v>
      </c>
      <c r="AI10" s="236">
        <f t="shared" ca="1" si="5"/>
        <v>7652888.9842554461</v>
      </c>
      <c r="AJ10" s="236">
        <f t="shared" ca="1" si="5"/>
        <v>7479702.6826101998</v>
      </c>
      <c r="AK10" s="236">
        <f t="shared" ca="1" si="5"/>
        <v>7313384.5060575446</v>
      </c>
      <c r="AL10" s="236">
        <f t="shared" ca="1" si="5"/>
        <v>7155155.819135827</v>
      </c>
      <c r="AM10" s="236">
        <f t="shared" ca="1" si="5"/>
        <v>6997225.6152109765</v>
      </c>
      <c r="AN10" s="236">
        <f t="shared" ca="1" si="5"/>
        <v>6846278.1208742512</v>
      </c>
      <c r="AO10" s="236">
        <f t="shared" ca="1" si="5"/>
        <v>6702104.2634510677</v>
      </c>
      <c r="AP10" s="236">
        <f t="shared" ca="1" si="5"/>
        <v>6551604.6865418879</v>
      </c>
      <c r="AQ10" s="236">
        <f t="shared" ca="1" si="5"/>
        <v>6410800.998465376</v>
      </c>
      <c r="AR10" s="236">
        <f t="shared" ca="1" si="5"/>
        <v>6337617.4048372582</v>
      </c>
      <c r="AS10" s="236">
        <f t="shared" ca="1" si="5"/>
        <v>6303574.6010916727</v>
      </c>
      <c r="AT10" s="236">
        <f t="shared" ca="1" si="5"/>
        <v>6312843.0180859268</v>
      </c>
      <c r="AU10" s="236">
        <f t="shared" ca="1" si="5"/>
        <v>6351405.3487638999</v>
      </c>
      <c r="AV10" s="236">
        <f t="shared" ca="1" si="5"/>
        <v>6420563.7752064802</v>
      </c>
      <c r="AW10" s="236">
        <f t="shared" ca="1" si="5"/>
        <v>6518284.2452688497</v>
      </c>
      <c r="AX10" s="236">
        <f t="shared" ca="1" si="5"/>
        <v>6635484.724497756</v>
      </c>
      <c r="AY10" s="236">
        <f t="shared" ca="1" si="5"/>
        <v>6779443.5358441938</v>
      </c>
      <c r="AZ10" s="236">
        <f t="shared" ca="1" si="5"/>
        <v>6947544.9348904733</v>
      </c>
      <c r="BA10" s="236">
        <f t="shared" ca="1" si="5"/>
        <v>7134203.6412060633</v>
      </c>
      <c r="BB10" s="236">
        <f t="shared" ca="1" si="5"/>
        <v>7337675.2510568537</v>
      </c>
      <c r="BC10" s="236">
        <f t="shared" ca="1" si="5"/>
        <v>7567498.1749683423</v>
      </c>
    </row>
    <row r="11" spans="1:55" x14ac:dyDescent="0.15">
      <c r="G11" s="80"/>
      <c r="H11" s="80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</row>
    <row r="12" spans="1:55" ht="16" x14ac:dyDescent="0.2">
      <c r="A12" s="204" t="s">
        <v>14</v>
      </c>
      <c r="B12" s="204"/>
      <c r="C12" s="211"/>
      <c r="D12" s="204"/>
      <c r="E12" s="204"/>
      <c r="F12" s="204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</row>
    <row r="13" spans="1:55" x14ac:dyDescent="0.15">
      <c r="A13" s="47" t="s">
        <v>15</v>
      </c>
      <c r="C13" s="172">
        <f t="shared" ref="C13:F16" ca="1" si="6">SUMIFS($G13:$BC13,$G$3:$BC$3,DATE(C$3,12,31))</f>
        <v>43898.574112363101</v>
      </c>
      <c r="D13" s="171">
        <f t="shared" ca="1" si="6"/>
        <v>170006.97237901401</v>
      </c>
      <c r="E13" s="171">
        <f t="shared" ca="1" si="6"/>
        <v>283408.7856593983</v>
      </c>
      <c r="F13" s="171">
        <f t="shared" ca="1" si="6"/>
        <v>360817.04105689778</v>
      </c>
      <c r="G13" s="166">
        <v>0</v>
      </c>
      <c r="H13" s="236">
        <f ca="1">Main!$D$87*(IS!G16+IS!G38)</f>
        <v>30682.774583333336</v>
      </c>
      <c r="I13" s="236">
        <f ca="1">Main!$D$87*(IS!H16+IS!H38)</f>
        <v>30690.676558836676</v>
      </c>
      <c r="J13" s="236">
        <f ca="1">Main!$D$87*(IS!I16+IS!I38)</f>
        <v>30694.763261303269</v>
      </c>
      <c r="K13" s="236">
        <f ca="1">Main!$D$87*(IS!J16+IS!J38)</f>
        <v>30702.026241072923</v>
      </c>
      <c r="L13" s="236">
        <f ca="1">Main!$D$87*(IS!K16+IS!K38)</f>
        <v>30705.90512988501</v>
      </c>
      <c r="M13" s="236">
        <f ca="1">Main!$D$87*(IS!L16+IS!L38)</f>
        <v>30708.10035026689</v>
      </c>
      <c r="N13" s="236">
        <f ca="1">Main!$D$87*(IS!M16+IS!M38)</f>
        <v>43747.463987885087</v>
      </c>
      <c r="O13" s="236">
        <f ca="1">Main!$D$87*(IS!N16+IS!N38)</f>
        <v>43796.407451288025</v>
      </c>
      <c r="P13" s="236">
        <f ca="1">Main!$D$87*(IS!O16+IS!O38)</f>
        <v>43846.79202837222</v>
      </c>
      <c r="Q13" s="236">
        <f ca="1">Main!$D$87*(IS!P16+IS!P38)</f>
        <v>43873.039709022836</v>
      </c>
      <c r="R13" s="236">
        <f ca="1">Main!$D$87*(IS!Q16+IS!Q38)</f>
        <v>43888.46636668974</v>
      </c>
      <c r="S13" s="236">
        <f ca="1">Main!$D$87*(IS!R16+IS!R38)</f>
        <v>43898.574112363101</v>
      </c>
      <c r="T13" s="236">
        <f ca="1">Main!$D$87*(IS!S16+IS!S38)</f>
        <v>128077.62465020991</v>
      </c>
      <c r="U13" s="236">
        <f ca="1">Main!$D$87*(IS!T16+IS!T38)</f>
        <v>128338.78288478003</v>
      </c>
      <c r="V13" s="236">
        <f ca="1">Main!$D$87*(IS!U16+IS!U38)</f>
        <v>128541.62051637364</v>
      </c>
      <c r="W13" s="236">
        <f ca="1">Main!$D$87*(IS!V16+IS!V38)</f>
        <v>136314.28948175703</v>
      </c>
      <c r="X13" s="236">
        <f ca="1">Main!$D$87*(IS!W16+IS!W38)</f>
        <v>136422.17037875322</v>
      </c>
      <c r="Y13" s="236">
        <f ca="1">Main!$D$87*(IS!X16+IS!X38)</f>
        <v>136510.20733828898</v>
      </c>
      <c r="Z13" s="236">
        <f ca="1">Main!$D$87*(IS!Y16+IS!Y38)</f>
        <v>152601.74164101633</v>
      </c>
      <c r="AA13" s="236">
        <f ca="1">Main!$D$87*(IS!Z16+IS!Z38)</f>
        <v>157715.41496390509</v>
      </c>
      <c r="AB13" s="236">
        <f ca="1">Main!$D$87*(IS!AA16+IS!AA38)</f>
        <v>157935.44311831344</v>
      </c>
      <c r="AC13" s="236">
        <f ca="1">Main!$D$87*(IS!AB16+IS!AB38)</f>
        <v>169734.05019135957</v>
      </c>
      <c r="AD13" s="236">
        <f ca="1">Main!$D$87*(IS!AC16+IS!AC38)</f>
        <v>169878.54773557972</v>
      </c>
      <c r="AE13" s="236">
        <f ca="1">Main!$D$87*(IS!AD16+IS!AD38)</f>
        <v>170006.97237901401</v>
      </c>
      <c r="AF13" s="236">
        <f ca="1">Main!$D$87*(IS!AE16+IS!AE38)</f>
        <v>235525.97572858652</v>
      </c>
      <c r="AG13" s="236">
        <f ca="1">Main!$D$87*(IS!AF16+IS!AF38)</f>
        <v>236547.29951824711</v>
      </c>
      <c r="AH13" s="236">
        <f ca="1">Main!$D$87*(IS!AG16+IS!AG38)</f>
        <v>237321.26202559381</v>
      </c>
      <c r="AI13" s="236">
        <f ca="1">Main!$D$87*(IS!AH16+IS!AH38)</f>
        <v>254636.53904393682</v>
      </c>
      <c r="AJ13" s="236">
        <f ca="1">Main!$D$87*(IS!AI16+IS!AI38)</f>
        <v>255110.52986957206</v>
      </c>
      <c r="AK13" s="236">
        <f ca="1">Main!$D$87*(IS!AJ16+IS!AJ38)</f>
        <v>255497.48747552111</v>
      </c>
      <c r="AL13" s="236">
        <f ca="1">Main!$D$87*(IS!AK16+IS!AK38)</f>
        <v>264053.2148156655</v>
      </c>
      <c r="AM13" s="236">
        <f ca="1">Main!$D$87*(IS!AL16+IS!AL38)</f>
        <v>264521.55752027238</v>
      </c>
      <c r="AN13" s="236">
        <f ca="1">Main!$D$87*(IS!AM16+IS!AM38)</f>
        <v>264912.72345517768</v>
      </c>
      <c r="AO13" s="236">
        <f ca="1">Main!$D$87*(IS!AN16+IS!AN38)</f>
        <v>282278.91014570795</v>
      </c>
      <c r="AP13" s="236">
        <f ca="1">Main!$D$87*(IS!AO16+IS!AO38)</f>
        <v>282864.91405605478</v>
      </c>
      <c r="AQ13" s="236">
        <f ca="1">Main!$D$87*(IS!AP16+IS!AP38)</f>
        <v>283408.7856593983</v>
      </c>
      <c r="AR13" s="236">
        <f ca="1">Main!$D$87*(IS!AQ16+IS!AQ38)</f>
        <v>303930.46136834228</v>
      </c>
      <c r="AS13" s="236">
        <f ca="1">Main!$D$87*(IS!AR16+IS!AR38)</f>
        <v>307163.45889742166</v>
      </c>
      <c r="AT13" s="236">
        <f ca="1">Main!$D$87*(IS!AS16+IS!AS38)</f>
        <v>318963.85146501253</v>
      </c>
      <c r="AU13" s="236">
        <f ca="1">Main!$D$87*(IS!AT16+IS!AT38)</f>
        <v>325569.7466254757</v>
      </c>
      <c r="AV13" s="236">
        <f ca="1">Main!$D$87*(IS!AU16+IS!AU38)</f>
        <v>327561.85790344875</v>
      </c>
      <c r="AW13" s="236">
        <f ca="1">Main!$D$87*(IS!AV16+IS!AV38)</f>
        <v>338477.55072645657</v>
      </c>
      <c r="AX13" s="236">
        <f ca="1">Main!$D$87*(IS!AW16+IS!AW38)</f>
        <v>340092.33382179902</v>
      </c>
      <c r="AY13" s="236">
        <f ca="1">Main!$D$87*(IS!AX16+IS!AX38)</f>
        <v>341594.52523079846</v>
      </c>
      <c r="AZ13" s="236">
        <f ca="1">Main!$D$87*(IS!AY16+IS!AY38)</f>
        <v>347343.36007139523</v>
      </c>
      <c r="BA13" s="236">
        <f ca="1">Main!$D$87*(IS!AZ16+IS!AZ38)</f>
        <v>357909.76354192098</v>
      </c>
      <c r="BB13" s="236">
        <f ca="1">Main!$D$87*(IS!BA16+IS!BA38)</f>
        <v>359352.79352806852</v>
      </c>
      <c r="BC13" s="236">
        <f ca="1">Main!$D$87*(IS!BB16+IS!BB38)</f>
        <v>360817.04105689778</v>
      </c>
    </row>
    <row r="14" spans="1:55" x14ac:dyDescent="0.15">
      <c r="A14" s="95" t="s">
        <v>67</v>
      </c>
      <c r="C14" s="172">
        <f t="shared" si="6"/>
        <v>300000</v>
      </c>
      <c r="D14" s="171">
        <f t="shared" si="6"/>
        <v>300000</v>
      </c>
      <c r="E14" s="171">
        <f t="shared" si="6"/>
        <v>300000</v>
      </c>
      <c r="F14" s="171">
        <f t="shared" si="6"/>
        <v>300000</v>
      </c>
      <c r="G14" s="166">
        <v>0</v>
      </c>
      <c r="H14" s="166">
        <v>300000</v>
      </c>
      <c r="I14" s="166">
        <v>300000</v>
      </c>
      <c r="J14" s="166">
        <v>300000</v>
      </c>
      <c r="K14" s="166">
        <v>300000</v>
      </c>
      <c r="L14" s="166">
        <v>300000</v>
      </c>
      <c r="M14" s="166">
        <v>300000</v>
      </c>
      <c r="N14" s="166">
        <v>300000</v>
      </c>
      <c r="O14" s="166">
        <v>300000</v>
      </c>
      <c r="P14" s="166">
        <v>300000</v>
      </c>
      <c r="Q14" s="166">
        <v>300000</v>
      </c>
      <c r="R14" s="166">
        <v>300000</v>
      </c>
      <c r="S14" s="166">
        <v>300000</v>
      </c>
      <c r="T14" s="166">
        <v>300000</v>
      </c>
      <c r="U14" s="166">
        <v>300000</v>
      </c>
      <c r="V14" s="166">
        <v>300000</v>
      </c>
      <c r="W14" s="166">
        <v>300000</v>
      </c>
      <c r="X14" s="166">
        <v>300000</v>
      </c>
      <c r="Y14" s="166">
        <v>300000</v>
      </c>
      <c r="Z14" s="166">
        <v>300000</v>
      </c>
      <c r="AA14" s="166">
        <v>300000</v>
      </c>
      <c r="AB14" s="166">
        <v>300000</v>
      </c>
      <c r="AC14" s="166">
        <v>300000</v>
      </c>
      <c r="AD14" s="166">
        <v>300000</v>
      </c>
      <c r="AE14" s="166">
        <v>300000</v>
      </c>
      <c r="AF14" s="166">
        <v>300000</v>
      </c>
      <c r="AG14" s="166">
        <v>300000</v>
      </c>
      <c r="AH14" s="166">
        <v>300000</v>
      </c>
      <c r="AI14" s="166">
        <v>300000</v>
      </c>
      <c r="AJ14" s="166">
        <v>300000</v>
      </c>
      <c r="AK14" s="166">
        <v>300000</v>
      </c>
      <c r="AL14" s="166">
        <v>300000</v>
      </c>
      <c r="AM14" s="166">
        <v>300000</v>
      </c>
      <c r="AN14" s="166">
        <v>300000</v>
      </c>
      <c r="AO14" s="166">
        <v>300000</v>
      </c>
      <c r="AP14" s="166">
        <v>300000</v>
      </c>
      <c r="AQ14" s="166">
        <v>300000</v>
      </c>
      <c r="AR14" s="166">
        <v>300000</v>
      </c>
      <c r="AS14" s="166">
        <v>300000</v>
      </c>
      <c r="AT14" s="166">
        <v>300000</v>
      </c>
      <c r="AU14" s="166">
        <v>300000</v>
      </c>
      <c r="AV14" s="166">
        <v>300000</v>
      </c>
      <c r="AW14" s="166">
        <v>300000</v>
      </c>
      <c r="AX14" s="166">
        <v>300000</v>
      </c>
      <c r="AY14" s="166">
        <v>300000</v>
      </c>
      <c r="AZ14" s="166">
        <v>300000</v>
      </c>
      <c r="BA14" s="166">
        <v>300000</v>
      </c>
      <c r="BB14" s="166">
        <v>300000</v>
      </c>
      <c r="BC14" s="166">
        <v>300000</v>
      </c>
    </row>
    <row r="15" spans="1:55" x14ac:dyDescent="0.15">
      <c r="A15" s="47" t="s">
        <v>52</v>
      </c>
      <c r="C15" s="172">
        <f t="shared" si="6"/>
        <v>0</v>
      </c>
      <c r="D15" s="171">
        <f t="shared" si="6"/>
        <v>0</v>
      </c>
      <c r="E15" s="171">
        <f t="shared" si="6"/>
        <v>0</v>
      </c>
      <c r="F15" s="171">
        <f t="shared" si="6"/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U15" s="166">
        <v>0</v>
      </c>
      <c r="V15" s="166">
        <v>0</v>
      </c>
      <c r="W15" s="166">
        <v>0</v>
      </c>
      <c r="X15" s="166">
        <v>0</v>
      </c>
      <c r="Y15" s="166">
        <v>0</v>
      </c>
      <c r="Z15" s="166">
        <v>0</v>
      </c>
      <c r="AA15" s="166">
        <v>0</v>
      </c>
      <c r="AB15" s="166">
        <v>0</v>
      </c>
      <c r="AC15" s="166">
        <v>0</v>
      </c>
      <c r="AD15" s="166">
        <v>0</v>
      </c>
      <c r="AE15" s="166">
        <v>0</v>
      </c>
      <c r="AF15" s="166">
        <v>0</v>
      </c>
      <c r="AG15" s="166">
        <v>0</v>
      </c>
      <c r="AH15" s="166">
        <v>0</v>
      </c>
      <c r="AI15" s="166">
        <v>0</v>
      </c>
      <c r="AJ15" s="166">
        <v>0</v>
      </c>
      <c r="AK15" s="166">
        <v>0</v>
      </c>
      <c r="AL15" s="166">
        <v>0</v>
      </c>
      <c r="AM15" s="166">
        <v>0</v>
      </c>
      <c r="AN15" s="166">
        <v>0</v>
      </c>
      <c r="AO15" s="166">
        <v>0</v>
      </c>
      <c r="AP15" s="166">
        <v>0</v>
      </c>
      <c r="AQ15" s="166">
        <v>0</v>
      </c>
      <c r="AR15" s="166">
        <v>0</v>
      </c>
      <c r="AS15" s="166">
        <v>0</v>
      </c>
      <c r="AT15" s="166">
        <v>0</v>
      </c>
      <c r="AU15" s="166">
        <v>0</v>
      </c>
      <c r="AV15" s="166">
        <v>0</v>
      </c>
      <c r="AW15" s="166">
        <v>0</v>
      </c>
      <c r="AX15" s="166">
        <v>0</v>
      </c>
      <c r="AY15" s="166">
        <v>0</v>
      </c>
      <c r="AZ15" s="166">
        <v>0</v>
      </c>
      <c r="BA15" s="166">
        <v>0</v>
      </c>
      <c r="BB15" s="166">
        <v>0</v>
      </c>
      <c r="BC15" s="166">
        <v>0</v>
      </c>
    </row>
    <row r="16" spans="1:55" x14ac:dyDescent="0.15">
      <c r="A16" s="59" t="s">
        <v>16</v>
      </c>
      <c r="B16" s="59"/>
      <c r="C16" s="297">
        <f t="shared" ca="1" si="6"/>
        <v>343898.5741123631</v>
      </c>
      <c r="D16" s="236">
        <f t="shared" ca="1" si="6"/>
        <v>470006.97237901401</v>
      </c>
      <c r="E16" s="236">
        <f t="shared" ca="1" si="6"/>
        <v>583408.7856593983</v>
      </c>
      <c r="F16" s="236">
        <f t="shared" ca="1" si="6"/>
        <v>660817.04105689772</v>
      </c>
      <c r="G16" s="236">
        <f>SUM(G13:G15)</f>
        <v>0</v>
      </c>
      <c r="H16" s="236">
        <f t="shared" ref="H16:BC16" ca="1" si="7">SUM(H13:H15)</f>
        <v>330682.77458333335</v>
      </c>
      <c r="I16" s="236">
        <f t="shared" ca="1" si="7"/>
        <v>330690.67655883665</v>
      </c>
      <c r="J16" s="236">
        <f t="shared" ca="1" si="7"/>
        <v>330694.76326130325</v>
      </c>
      <c r="K16" s="236">
        <f t="shared" ca="1" si="7"/>
        <v>330702.02624107292</v>
      </c>
      <c r="L16" s="236">
        <f t="shared" ca="1" si="7"/>
        <v>330705.90512988501</v>
      </c>
      <c r="M16" s="236">
        <f t="shared" ca="1" si="7"/>
        <v>330708.1003502669</v>
      </c>
      <c r="N16" s="236">
        <f t="shared" ca="1" si="7"/>
        <v>343747.4639878851</v>
      </c>
      <c r="O16" s="236">
        <f t="shared" ca="1" si="7"/>
        <v>343796.40745128802</v>
      </c>
      <c r="P16" s="236">
        <f t="shared" ca="1" si="7"/>
        <v>343846.79202837223</v>
      </c>
      <c r="Q16" s="236">
        <f t="shared" ca="1" si="7"/>
        <v>343873.03970902285</v>
      </c>
      <c r="R16" s="236">
        <f t="shared" ca="1" si="7"/>
        <v>343888.46636668977</v>
      </c>
      <c r="S16" s="236">
        <f t="shared" ca="1" si="7"/>
        <v>343898.5741123631</v>
      </c>
      <c r="T16" s="236">
        <f t="shared" ca="1" si="7"/>
        <v>428077.62465020991</v>
      </c>
      <c r="U16" s="236">
        <f t="shared" ca="1" si="7"/>
        <v>428338.78288478003</v>
      </c>
      <c r="V16" s="236">
        <f t="shared" ca="1" si="7"/>
        <v>428541.62051637366</v>
      </c>
      <c r="W16" s="236">
        <f t="shared" ca="1" si="7"/>
        <v>436314.28948175703</v>
      </c>
      <c r="X16" s="236">
        <f t="shared" ca="1" si="7"/>
        <v>436422.17037875322</v>
      </c>
      <c r="Y16" s="236">
        <f t="shared" ca="1" si="7"/>
        <v>436510.20733828901</v>
      </c>
      <c r="Z16" s="236">
        <f t="shared" ca="1" si="7"/>
        <v>452601.74164101633</v>
      </c>
      <c r="AA16" s="236">
        <f t="shared" ca="1" si="7"/>
        <v>457715.41496390512</v>
      </c>
      <c r="AB16" s="236">
        <f t="shared" ca="1" si="7"/>
        <v>457935.44311831344</v>
      </c>
      <c r="AC16" s="236">
        <f t="shared" ca="1" si="7"/>
        <v>469734.05019135959</v>
      </c>
      <c r="AD16" s="236">
        <f t="shared" ca="1" si="7"/>
        <v>469878.54773557972</v>
      </c>
      <c r="AE16" s="236">
        <f t="shared" ca="1" si="7"/>
        <v>470006.97237901401</v>
      </c>
      <c r="AF16" s="236">
        <f t="shared" ca="1" si="7"/>
        <v>535525.97572858655</v>
      </c>
      <c r="AG16" s="236">
        <f t="shared" ca="1" si="7"/>
        <v>536547.29951824713</v>
      </c>
      <c r="AH16" s="236">
        <f t="shared" ca="1" si="7"/>
        <v>537321.26202559378</v>
      </c>
      <c r="AI16" s="236">
        <f t="shared" ca="1" si="7"/>
        <v>554636.53904393688</v>
      </c>
      <c r="AJ16" s="236">
        <f t="shared" ca="1" si="7"/>
        <v>555110.52986957203</v>
      </c>
      <c r="AK16" s="236">
        <f t="shared" ca="1" si="7"/>
        <v>555497.48747552116</v>
      </c>
      <c r="AL16" s="236">
        <f t="shared" ca="1" si="7"/>
        <v>564053.2148156655</v>
      </c>
      <c r="AM16" s="236">
        <f t="shared" ca="1" si="7"/>
        <v>564521.55752027244</v>
      </c>
      <c r="AN16" s="236">
        <f t="shared" ca="1" si="7"/>
        <v>564912.72345517762</v>
      </c>
      <c r="AO16" s="236">
        <f t="shared" ca="1" si="7"/>
        <v>582278.91014570789</v>
      </c>
      <c r="AP16" s="236">
        <f t="shared" ca="1" si="7"/>
        <v>582864.91405605478</v>
      </c>
      <c r="AQ16" s="236">
        <f t="shared" ca="1" si="7"/>
        <v>583408.7856593983</v>
      </c>
      <c r="AR16" s="236">
        <f t="shared" ca="1" si="7"/>
        <v>603930.46136834228</v>
      </c>
      <c r="AS16" s="236">
        <f t="shared" ca="1" si="7"/>
        <v>607163.4588974216</v>
      </c>
      <c r="AT16" s="236">
        <f t="shared" ca="1" si="7"/>
        <v>618963.85146501253</v>
      </c>
      <c r="AU16" s="236">
        <f t="shared" ca="1" si="7"/>
        <v>625569.7466254757</v>
      </c>
      <c r="AV16" s="236">
        <f t="shared" ca="1" si="7"/>
        <v>627561.85790344875</v>
      </c>
      <c r="AW16" s="236">
        <f t="shared" ca="1" si="7"/>
        <v>638477.55072645657</v>
      </c>
      <c r="AX16" s="236">
        <f t="shared" ca="1" si="7"/>
        <v>640092.33382179902</v>
      </c>
      <c r="AY16" s="236">
        <f t="shared" ca="1" si="7"/>
        <v>641594.5252307984</v>
      </c>
      <c r="AZ16" s="236">
        <f t="shared" ca="1" si="7"/>
        <v>647343.36007139529</v>
      </c>
      <c r="BA16" s="236">
        <f t="shared" ca="1" si="7"/>
        <v>657909.76354192104</v>
      </c>
      <c r="BB16" s="236">
        <f t="shared" ca="1" si="7"/>
        <v>659352.79352806858</v>
      </c>
      <c r="BC16" s="236">
        <f t="shared" ca="1" si="7"/>
        <v>660817.04105689772</v>
      </c>
    </row>
    <row r="18" spans="1:55" ht="16" x14ac:dyDescent="0.2">
      <c r="A18" s="204" t="s">
        <v>17</v>
      </c>
      <c r="B18" s="204"/>
      <c r="C18" s="211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</row>
    <row r="19" spans="1:55" x14ac:dyDescent="0.15">
      <c r="A19" s="95" t="s">
        <v>208</v>
      </c>
      <c r="C19" s="172">
        <f t="shared" ref="C19:F22" si="8">SUMIFS($G19:$BC19,$G$3:$BC$3,DATE(C$3,12,31))</f>
        <v>5000000</v>
      </c>
      <c r="D19" s="171">
        <f t="shared" si="8"/>
        <v>10000000</v>
      </c>
      <c r="E19" s="171">
        <f t="shared" si="8"/>
        <v>10000000</v>
      </c>
      <c r="F19" s="171">
        <f t="shared" si="8"/>
        <v>10000000</v>
      </c>
      <c r="G19" s="166">
        <v>0</v>
      </c>
      <c r="H19" s="166"/>
      <c r="I19" s="166"/>
      <c r="J19" s="166"/>
      <c r="K19" s="166">
        <v>5000000</v>
      </c>
      <c r="L19" s="166">
        <v>5000000</v>
      </c>
      <c r="M19" s="166">
        <v>5000000</v>
      </c>
      <c r="N19" s="166">
        <v>5000000</v>
      </c>
      <c r="O19" s="166">
        <v>5000000</v>
      </c>
      <c r="P19" s="166">
        <v>5000000</v>
      </c>
      <c r="Q19" s="166">
        <v>5000000</v>
      </c>
      <c r="R19" s="166">
        <v>5000000</v>
      </c>
      <c r="S19" s="166">
        <v>5000000</v>
      </c>
      <c r="T19" s="166">
        <v>5000000</v>
      </c>
      <c r="U19" s="166">
        <v>5000000</v>
      </c>
      <c r="V19" s="166">
        <v>5000000</v>
      </c>
      <c r="W19" s="166">
        <v>5000000</v>
      </c>
      <c r="X19" s="166">
        <v>5000000</v>
      </c>
      <c r="Y19" s="166">
        <v>5000000</v>
      </c>
      <c r="Z19" s="166">
        <v>5000000</v>
      </c>
      <c r="AA19" s="166">
        <v>5000000</v>
      </c>
      <c r="AB19" s="166">
        <v>10000000</v>
      </c>
      <c r="AC19" s="166">
        <v>10000000</v>
      </c>
      <c r="AD19" s="166">
        <v>10000000</v>
      </c>
      <c r="AE19" s="166">
        <v>10000000</v>
      </c>
      <c r="AF19" s="166">
        <v>10000000</v>
      </c>
      <c r="AG19" s="166">
        <v>10000000</v>
      </c>
      <c r="AH19" s="166">
        <v>10000000</v>
      </c>
      <c r="AI19" s="166">
        <v>10000000</v>
      </c>
      <c r="AJ19" s="166">
        <v>10000000</v>
      </c>
      <c r="AK19" s="166">
        <v>10000000</v>
      </c>
      <c r="AL19" s="166">
        <v>10000000</v>
      </c>
      <c r="AM19" s="166">
        <v>10000000</v>
      </c>
      <c r="AN19" s="166">
        <v>10000000</v>
      </c>
      <c r="AO19" s="166">
        <v>10000000</v>
      </c>
      <c r="AP19" s="166">
        <v>10000000</v>
      </c>
      <c r="AQ19" s="166">
        <v>10000000</v>
      </c>
      <c r="AR19" s="166">
        <v>10000000</v>
      </c>
      <c r="AS19" s="166">
        <v>10000000</v>
      </c>
      <c r="AT19" s="166">
        <v>10000000</v>
      </c>
      <c r="AU19" s="166">
        <v>10000000</v>
      </c>
      <c r="AV19" s="166">
        <v>10000000</v>
      </c>
      <c r="AW19" s="166">
        <v>10000000</v>
      </c>
      <c r="AX19" s="166">
        <v>10000000</v>
      </c>
      <c r="AY19" s="166">
        <v>10000000</v>
      </c>
      <c r="AZ19" s="166">
        <v>10000000</v>
      </c>
      <c r="BA19" s="166">
        <v>10000000</v>
      </c>
      <c r="BB19" s="166">
        <v>10000000</v>
      </c>
      <c r="BC19" s="166">
        <v>10000000</v>
      </c>
    </row>
    <row r="20" spans="1:55" x14ac:dyDescent="0.15">
      <c r="A20" s="47" t="s">
        <v>23</v>
      </c>
      <c r="C20" s="172">
        <f t="shared" ca="1" si="8"/>
        <v>-546068.95040058892</v>
      </c>
      <c r="D20" s="171">
        <f t="shared" ca="1" si="8"/>
        <v>-2161694.2393017546</v>
      </c>
      <c r="E20" s="171">
        <f t="shared" ca="1" si="8"/>
        <v>-4172607.7871940224</v>
      </c>
      <c r="F20" s="171">
        <f t="shared" ca="1" si="8"/>
        <v>-3093318.8660885566</v>
      </c>
      <c r="G20" s="166">
        <v>0</v>
      </c>
      <c r="H20" s="171">
        <f ca="1">G20+IS!G48</f>
        <v>-40860.006958333339</v>
      </c>
      <c r="I20" s="171">
        <f ca="1">H20+IS!H48</f>
        <v>-81387.867546342837</v>
      </c>
      <c r="J20" s="171">
        <f ca="1">I20+IS!I48</f>
        <v>-121743.95040733996</v>
      </c>
      <c r="K20" s="171">
        <f ca="1">J20+IS!J48</f>
        <v>-161794.74601868592</v>
      </c>
      <c r="L20" s="171">
        <f ca="1">K20+IS!K48</f>
        <v>-201682.49900363048</v>
      </c>
      <c r="M20" s="171">
        <f ca="1">L20+IS!L48</f>
        <v>-241477.97955852334</v>
      </c>
      <c r="N20" s="171">
        <f ca="1">M20+IS!M48</f>
        <v>-296208.00368442049</v>
      </c>
      <c r="O20" s="171">
        <f ca="1">N20+IS!N48</f>
        <v>-348880.77089861408</v>
      </c>
      <c r="P20" s="171">
        <f ca="1">O20+IS!O48</f>
        <v>-399435.7063893688</v>
      </c>
      <c r="Q20" s="171">
        <f ca="1">P20+IS!P48</f>
        <v>-448887.36437010928</v>
      </c>
      <c r="R20" s="171">
        <f ca="1">Q20+IS!Q48</f>
        <v>-497690.58850691764</v>
      </c>
      <c r="S20" s="171">
        <f ca="1">R20+IS!R48</f>
        <v>-546068.95040058892</v>
      </c>
      <c r="T20" s="171">
        <f ca="1">S20+IS!S48</f>
        <v>-688701.6157978765</v>
      </c>
      <c r="U20" s="171">
        <f ca="1">T20+IS!T48</f>
        <v>-820356.93006873375</v>
      </c>
      <c r="V20" s="171">
        <f ca="1">U20+IS!U48</f>
        <v>-943486.30255827249</v>
      </c>
      <c r="W20" s="171">
        <f ca="1">V20+IS!V48</f>
        <v>-1070647.4494320301</v>
      </c>
      <c r="X20" s="171">
        <f ca="1">W20+IS!W48</f>
        <v>-1193585.5171242903</v>
      </c>
      <c r="Y20" s="171">
        <f ca="1">X20+IS!X48</f>
        <v>-1313368.0886526187</v>
      </c>
      <c r="Z20" s="171">
        <f ca="1">Y20+IS!Y48</f>
        <v>-1450398.9043339058</v>
      </c>
      <c r="AA20" s="171">
        <f ca="1">Z20+IS!Z48</f>
        <v>-1590104.7026166383</v>
      </c>
      <c r="AB20" s="171">
        <f ca="1">AA20+IS!AA48</f>
        <v>-1725886.4268946399</v>
      </c>
      <c r="AC20" s="171">
        <f ca="1">AB20+IS!AB48</f>
        <v>-1873688.8123125779</v>
      </c>
      <c r="AD20" s="171">
        <f ca="1">AC20+IS!AC48</f>
        <v>-2018866.0110892926</v>
      </c>
      <c r="AE20" s="171">
        <f ca="1">AD20+IS!AD48</f>
        <v>-2161694.2393017546</v>
      </c>
      <c r="AF20" s="171">
        <f ca="1">AE20+IS!AE48</f>
        <v>-2364110.2766588666</v>
      </c>
      <c r="AG20" s="171">
        <f ca="1">AF20+IS!AF48</f>
        <v>-2548675.0204207613</v>
      </c>
      <c r="AH20" s="171">
        <f ca="1">AG20+IS!AG48</f>
        <v>-2719636.9803905613</v>
      </c>
      <c r="AI20" s="171">
        <f ca="1">AH20+IS!AH48</f>
        <v>-2901747.5547884917</v>
      </c>
      <c r="AJ20" s="171">
        <f ca="1">AI20+IS!AI48</f>
        <v>-3075407.8472593729</v>
      </c>
      <c r="AK20" s="171">
        <f ca="1">AJ20+IS!AJ48</f>
        <v>-3242112.9814179768</v>
      </c>
      <c r="AL20" s="171">
        <f ca="1">AK20+IS!AK48</f>
        <v>-3408897.3956798376</v>
      </c>
      <c r="AM20" s="171">
        <f ca="1">AL20+IS!AL48</f>
        <v>-3567295.9423092967</v>
      </c>
      <c r="AN20" s="171">
        <f ca="1">AM20+IS!AM48</f>
        <v>-3718634.6025809264</v>
      </c>
      <c r="AO20" s="171">
        <f ca="1">AN20+IS!AN48</f>
        <v>-3880174.6466946406</v>
      </c>
      <c r="AP20" s="171">
        <f ca="1">AO20+IS!AO48</f>
        <v>-4031260.2275141673</v>
      </c>
      <c r="AQ20" s="171">
        <f ca="1">AP20+IS!AP48</f>
        <v>-4172607.7871940224</v>
      </c>
      <c r="AR20" s="171">
        <f ca="1">AQ20+IS!AQ48</f>
        <v>-4266313.0565310847</v>
      </c>
      <c r="AS20" s="171">
        <f ca="1">AR20+IS!AR48</f>
        <v>-4303588.8578057485</v>
      </c>
      <c r="AT20" s="171">
        <f ca="1">AS20+IS!AS48</f>
        <v>-4306120.8333790852</v>
      </c>
      <c r="AU20" s="171">
        <f ca="1">AT20+IS!AT48</f>
        <v>-4274164.3978615757</v>
      </c>
      <c r="AV20" s="171">
        <f ca="1">AU20+IS!AU48</f>
        <v>-4206998.0826969687</v>
      </c>
      <c r="AW20" s="171">
        <f ca="1">AV20+IS!AV48</f>
        <v>-4120193.3054576064</v>
      </c>
      <c r="AX20" s="171">
        <f ca="1">AW20+IS!AW48</f>
        <v>-4004607.6093240422</v>
      </c>
      <c r="AY20" s="171">
        <f ca="1">AX20+IS!AX48</f>
        <v>-3862150.9893866056</v>
      </c>
      <c r="AZ20" s="171">
        <f ca="1">AY20+IS!AY48</f>
        <v>-3699798.4251809223</v>
      </c>
      <c r="BA20" s="171">
        <f ca="1">AZ20+IS!AZ48</f>
        <v>-3523706.1223358582</v>
      </c>
      <c r="BB20" s="171">
        <f ca="1">BA20+IS!BA48</f>
        <v>-3321677.5424712151</v>
      </c>
      <c r="BC20" s="171">
        <f ca="1">BB20+IS!BB48</f>
        <v>-3093318.8660885566</v>
      </c>
    </row>
    <row r="21" spans="1:55" x14ac:dyDescent="0.15">
      <c r="A21" s="59" t="s">
        <v>18</v>
      </c>
      <c r="B21" s="59"/>
      <c r="C21" s="297">
        <f t="shared" ca="1" si="8"/>
        <v>4453931.049599411</v>
      </c>
      <c r="D21" s="236">
        <f t="shared" ca="1" si="8"/>
        <v>7838305.7606982458</v>
      </c>
      <c r="E21" s="236">
        <f t="shared" ca="1" si="8"/>
        <v>5827392.2128059771</v>
      </c>
      <c r="F21" s="236">
        <f t="shared" ca="1" si="8"/>
        <v>6906681.1339114439</v>
      </c>
      <c r="G21" s="236">
        <f>SUM(G19:G20)</f>
        <v>0</v>
      </c>
      <c r="H21" s="236">
        <f t="shared" ref="H21:BC21" ca="1" si="9">SUM(H19:H20)</f>
        <v>-40860.006958333339</v>
      </c>
      <c r="I21" s="236">
        <f t="shared" ca="1" si="9"/>
        <v>-81387.867546342837</v>
      </c>
      <c r="J21" s="236">
        <f t="shared" ca="1" si="9"/>
        <v>-121743.95040733996</v>
      </c>
      <c r="K21" s="236">
        <f t="shared" ca="1" si="9"/>
        <v>4838205.2539813137</v>
      </c>
      <c r="L21" s="236">
        <f t="shared" ca="1" si="9"/>
        <v>4798317.5009963699</v>
      </c>
      <c r="M21" s="236">
        <f t="shared" ca="1" si="9"/>
        <v>4758522.0204414763</v>
      </c>
      <c r="N21" s="236">
        <f t="shared" ca="1" si="9"/>
        <v>4703791.9963155799</v>
      </c>
      <c r="O21" s="236">
        <f t="shared" ca="1" si="9"/>
        <v>4651119.2291013859</v>
      </c>
      <c r="P21" s="236">
        <f t="shared" ca="1" si="9"/>
        <v>4600564.2936106315</v>
      </c>
      <c r="Q21" s="236">
        <f t="shared" ca="1" si="9"/>
        <v>4551112.6356298905</v>
      </c>
      <c r="R21" s="236">
        <f t="shared" ca="1" si="9"/>
        <v>4502309.4114930825</v>
      </c>
      <c r="S21" s="236">
        <f t="shared" ca="1" si="9"/>
        <v>4453931.049599411</v>
      </c>
      <c r="T21" s="236">
        <f t="shared" ca="1" si="9"/>
        <v>4311298.3842021236</v>
      </c>
      <c r="U21" s="236">
        <f t="shared" ca="1" si="9"/>
        <v>4179643.0699312664</v>
      </c>
      <c r="V21" s="236">
        <f t="shared" ca="1" si="9"/>
        <v>4056513.6974417274</v>
      </c>
      <c r="W21" s="236">
        <f t="shared" ca="1" si="9"/>
        <v>3929352.5505679697</v>
      </c>
      <c r="X21" s="236">
        <f t="shared" ca="1" si="9"/>
        <v>3806414.4828757094</v>
      </c>
      <c r="Y21" s="236">
        <f t="shared" ca="1" si="9"/>
        <v>3686631.9113473813</v>
      </c>
      <c r="Z21" s="236">
        <f t="shared" ca="1" si="9"/>
        <v>3549601.0956660942</v>
      </c>
      <c r="AA21" s="236">
        <f t="shared" ca="1" si="9"/>
        <v>3409895.2973833615</v>
      </c>
      <c r="AB21" s="236">
        <f t="shared" ca="1" si="9"/>
        <v>8274113.5731053604</v>
      </c>
      <c r="AC21" s="236">
        <f t="shared" ca="1" si="9"/>
        <v>8126311.1876874221</v>
      </c>
      <c r="AD21" s="236">
        <f t="shared" ca="1" si="9"/>
        <v>7981133.9889107076</v>
      </c>
      <c r="AE21" s="236">
        <f t="shared" ca="1" si="9"/>
        <v>7838305.7606982458</v>
      </c>
      <c r="AF21" s="236">
        <f t="shared" ca="1" si="9"/>
        <v>7635889.7233411334</v>
      </c>
      <c r="AG21" s="236">
        <f t="shared" ca="1" si="9"/>
        <v>7451324.9795792382</v>
      </c>
      <c r="AH21" s="236">
        <f t="shared" ca="1" si="9"/>
        <v>7280363.0196094383</v>
      </c>
      <c r="AI21" s="236">
        <f t="shared" ca="1" si="9"/>
        <v>7098252.4452115083</v>
      </c>
      <c r="AJ21" s="236">
        <f t="shared" ca="1" si="9"/>
        <v>6924592.1527406275</v>
      </c>
      <c r="AK21" s="236">
        <f t="shared" ca="1" si="9"/>
        <v>6757887.0185820237</v>
      </c>
      <c r="AL21" s="236">
        <f t="shared" ca="1" si="9"/>
        <v>6591102.6043201629</v>
      </c>
      <c r="AM21" s="236">
        <f t="shared" ca="1" si="9"/>
        <v>6432704.0576907033</v>
      </c>
      <c r="AN21" s="236">
        <f t="shared" ca="1" si="9"/>
        <v>6281365.3974190736</v>
      </c>
      <c r="AO21" s="236">
        <f t="shared" ca="1" si="9"/>
        <v>6119825.3533053594</v>
      </c>
      <c r="AP21" s="236">
        <f t="shared" ca="1" si="9"/>
        <v>5968739.7724858327</v>
      </c>
      <c r="AQ21" s="236">
        <f t="shared" ca="1" si="9"/>
        <v>5827392.2128059771</v>
      </c>
      <c r="AR21" s="236">
        <f t="shared" ca="1" si="9"/>
        <v>5733686.9434689153</v>
      </c>
      <c r="AS21" s="236">
        <f t="shared" ca="1" si="9"/>
        <v>5696411.1421942515</v>
      </c>
      <c r="AT21" s="236">
        <f t="shared" ca="1" si="9"/>
        <v>5693879.1666209148</v>
      </c>
      <c r="AU21" s="236">
        <f t="shared" ca="1" si="9"/>
        <v>5725835.6021384243</v>
      </c>
      <c r="AV21" s="236">
        <f t="shared" ca="1" si="9"/>
        <v>5793001.9173030313</v>
      </c>
      <c r="AW21" s="236">
        <f t="shared" ca="1" si="9"/>
        <v>5879806.6945423931</v>
      </c>
      <c r="AX21" s="236">
        <f t="shared" ca="1" si="9"/>
        <v>5995392.3906759582</v>
      </c>
      <c r="AY21" s="236">
        <f t="shared" ca="1" si="9"/>
        <v>6137849.0106133949</v>
      </c>
      <c r="AZ21" s="236">
        <f t="shared" ca="1" si="9"/>
        <v>6300201.5748190777</v>
      </c>
      <c r="BA21" s="236">
        <f t="shared" ca="1" si="9"/>
        <v>6476293.8776641414</v>
      </c>
      <c r="BB21" s="236">
        <f t="shared" ca="1" si="9"/>
        <v>6678322.4575287849</v>
      </c>
      <c r="BC21" s="236">
        <f t="shared" ca="1" si="9"/>
        <v>6906681.1339114439</v>
      </c>
    </row>
    <row r="22" spans="1:55" x14ac:dyDescent="0.15">
      <c r="A22" s="59" t="s">
        <v>68</v>
      </c>
      <c r="B22" s="59"/>
      <c r="C22" s="297">
        <f t="shared" ca="1" si="8"/>
        <v>4797829.6237117741</v>
      </c>
      <c r="D22" s="236">
        <f t="shared" ca="1" si="8"/>
        <v>8308312.7330772597</v>
      </c>
      <c r="E22" s="236">
        <f t="shared" ca="1" si="8"/>
        <v>6410800.998465375</v>
      </c>
      <c r="F22" s="236">
        <f t="shared" ca="1" si="8"/>
        <v>7567498.1749683414</v>
      </c>
      <c r="G22" s="236">
        <f>G16+G21</f>
        <v>0</v>
      </c>
      <c r="H22" s="236">
        <f t="shared" ref="H22:BC22" ca="1" si="10">H16+H21</f>
        <v>289822.76762499998</v>
      </c>
      <c r="I22" s="236">
        <f t="shared" ca="1" si="10"/>
        <v>249302.80901249382</v>
      </c>
      <c r="J22" s="236">
        <f t="shared" ca="1" si="10"/>
        <v>208950.81285396329</v>
      </c>
      <c r="K22" s="236">
        <f t="shared" ca="1" si="10"/>
        <v>5168907.2802223861</v>
      </c>
      <c r="L22" s="236">
        <f t="shared" ca="1" si="10"/>
        <v>5129023.4061262552</v>
      </c>
      <c r="M22" s="236">
        <f t="shared" ca="1" si="10"/>
        <v>5089230.1207917435</v>
      </c>
      <c r="N22" s="236">
        <f t="shared" ca="1" si="10"/>
        <v>5047539.4603034649</v>
      </c>
      <c r="O22" s="236">
        <f t="shared" ca="1" si="10"/>
        <v>4994915.6365526738</v>
      </c>
      <c r="P22" s="236">
        <f t="shared" ca="1" si="10"/>
        <v>4944411.0856390037</v>
      </c>
      <c r="Q22" s="236">
        <f t="shared" ca="1" si="10"/>
        <v>4894985.6753389137</v>
      </c>
      <c r="R22" s="236">
        <f t="shared" ca="1" si="10"/>
        <v>4846197.8778597722</v>
      </c>
      <c r="S22" s="236">
        <f t="shared" ca="1" si="10"/>
        <v>4797829.6237117741</v>
      </c>
      <c r="T22" s="236">
        <f t="shared" ca="1" si="10"/>
        <v>4739376.0088523338</v>
      </c>
      <c r="U22" s="236">
        <f t="shared" ca="1" si="10"/>
        <v>4607981.8528160462</v>
      </c>
      <c r="V22" s="236">
        <f t="shared" ca="1" si="10"/>
        <v>4485055.3179581007</v>
      </c>
      <c r="W22" s="236">
        <f t="shared" ca="1" si="10"/>
        <v>4365666.8400497269</v>
      </c>
      <c r="X22" s="236">
        <f t="shared" ca="1" si="10"/>
        <v>4242836.6532544624</v>
      </c>
      <c r="Y22" s="236">
        <f t="shared" ca="1" si="10"/>
        <v>4123142.1186856702</v>
      </c>
      <c r="Z22" s="236">
        <f t="shared" ca="1" si="10"/>
        <v>4002202.8373071104</v>
      </c>
      <c r="AA22" s="236">
        <f t="shared" ca="1" si="10"/>
        <v>3867610.7123472667</v>
      </c>
      <c r="AB22" s="236">
        <f t="shared" ca="1" si="10"/>
        <v>8732049.0162236746</v>
      </c>
      <c r="AC22" s="236">
        <f t="shared" ca="1" si="10"/>
        <v>8596045.2378787808</v>
      </c>
      <c r="AD22" s="236">
        <f t="shared" ca="1" si="10"/>
        <v>8451012.5366462879</v>
      </c>
      <c r="AE22" s="236">
        <f t="shared" ca="1" si="10"/>
        <v>8308312.7330772597</v>
      </c>
      <c r="AF22" s="236">
        <f t="shared" ca="1" si="10"/>
        <v>8171415.6990697198</v>
      </c>
      <c r="AG22" s="236">
        <f t="shared" ca="1" si="10"/>
        <v>7987872.2790974854</v>
      </c>
      <c r="AH22" s="236">
        <f t="shared" ca="1" si="10"/>
        <v>7817684.281635032</v>
      </c>
      <c r="AI22" s="236">
        <f t="shared" ca="1" si="10"/>
        <v>7652888.9842554452</v>
      </c>
      <c r="AJ22" s="236">
        <f t="shared" ca="1" si="10"/>
        <v>7479702.6826101998</v>
      </c>
      <c r="AK22" s="236">
        <f t="shared" ca="1" si="10"/>
        <v>7313384.5060575446</v>
      </c>
      <c r="AL22" s="236">
        <f t="shared" ca="1" si="10"/>
        <v>7155155.8191358279</v>
      </c>
      <c r="AM22" s="236">
        <f t="shared" ca="1" si="10"/>
        <v>6997225.6152109755</v>
      </c>
      <c r="AN22" s="236">
        <f t="shared" ca="1" si="10"/>
        <v>6846278.1208742512</v>
      </c>
      <c r="AO22" s="236">
        <f t="shared" ca="1" si="10"/>
        <v>6702104.2634510677</v>
      </c>
      <c r="AP22" s="236">
        <f t="shared" ca="1" si="10"/>
        <v>6551604.686541887</v>
      </c>
      <c r="AQ22" s="236">
        <f t="shared" ca="1" si="10"/>
        <v>6410800.998465375</v>
      </c>
      <c r="AR22" s="236">
        <f t="shared" ca="1" si="10"/>
        <v>6337617.4048372572</v>
      </c>
      <c r="AS22" s="236">
        <f t="shared" ca="1" si="10"/>
        <v>6303574.6010916736</v>
      </c>
      <c r="AT22" s="236">
        <f t="shared" ca="1" si="10"/>
        <v>6312843.0180859277</v>
      </c>
      <c r="AU22" s="236">
        <f t="shared" ca="1" si="10"/>
        <v>6351405.3487638999</v>
      </c>
      <c r="AV22" s="236">
        <f t="shared" ca="1" si="10"/>
        <v>6420563.7752064802</v>
      </c>
      <c r="AW22" s="236">
        <f t="shared" ca="1" si="10"/>
        <v>6518284.2452688497</v>
      </c>
      <c r="AX22" s="236">
        <f t="shared" ca="1" si="10"/>
        <v>6635484.7244977569</v>
      </c>
      <c r="AY22" s="236">
        <f t="shared" ca="1" si="10"/>
        <v>6779443.5358441938</v>
      </c>
      <c r="AZ22" s="236">
        <f t="shared" ca="1" si="10"/>
        <v>6947544.9348904733</v>
      </c>
      <c r="BA22" s="236">
        <f t="shared" ca="1" si="10"/>
        <v>7134203.6412060624</v>
      </c>
      <c r="BB22" s="236">
        <f t="shared" ca="1" si="10"/>
        <v>7337675.2510568537</v>
      </c>
      <c r="BC22" s="236">
        <f t="shared" ca="1" si="10"/>
        <v>7567498.1749683414</v>
      </c>
    </row>
    <row r="23" spans="1:55" x14ac:dyDescent="0.15">
      <c r="A23" s="59"/>
      <c r="B23" s="59"/>
      <c r="C23" s="288"/>
      <c r="D23" s="59"/>
      <c r="E23" s="59"/>
      <c r="F23" s="59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</row>
    <row r="24" spans="1:55" s="292" customFormat="1" x14ac:dyDescent="0.15">
      <c r="A24" s="291" t="s">
        <v>215</v>
      </c>
      <c r="B24" s="291"/>
      <c r="C24" s="298">
        <f ca="1">SUMIFS($G24:$BC24,$G$3:$BC$3,DATE(C$3,12,31))</f>
        <v>0</v>
      </c>
      <c r="D24" s="293">
        <f t="shared" ref="D24:F24" ca="1" si="11">SUMIFS($G24:$BC24,$G$3:$BC$3,DATE(D$3,12,31))</f>
        <v>0</v>
      </c>
      <c r="E24" s="293">
        <f t="shared" ca="1" si="11"/>
        <v>0</v>
      </c>
      <c r="F24" s="293">
        <f t="shared" ca="1" si="11"/>
        <v>0</v>
      </c>
      <c r="G24" s="293">
        <f>G10-G22</f>
        <v>0</v>
      </c>
      <c r="H24" s="293">
        <f t="shared" ref="H24:BC24" ca="1" si="12">H10-H22</f>
        <v>0</v>
      </c>
      <c r="I24" s="293">
        <f t="shared" ca="1" si="12"/>
        <v>0</v>
      </c>
      <c r="J24" s="293">
        <f t="shared" ca="1" si="12"/>
        <v>0</v>
      </c>
      <c r="K24" s="293">
        <f t="shared" ca="1" si="12"/>
        <v>0</v>
      </c>
      <c r="L24" s="293">
        <f t="shared" ca="1" si="12"/>
        <v>0</v>
      </c>
      <c r="M24" s="293">
        <f t="shared" ca="1" si="12"/>
        <v>0</v>
      </c>
      <c r="N24" s="293">
        <f t="shared" ca="1" si="12"/>
        <v>0</v>
      </c>
      <c r="O24" s="293">
        <f t="shared" ca="1" si="12"/>
        <v>0</v>
      </c>
      <c r="P24" s="293">
        <f t="shared" ca="1" si="12"/>
        <v>0</v>
      </c>
      <c r="Q24" s="293">
        <f t="shared" ca="1" si="12"/>
        <v>0</v>
      </c>
      <c r="R24" s="293">
        <f t="shared" ca="1" si="12"/>
        <v>0</v>
      </c>
      <c r="S24" s="293">
        <f t="shared" ca="1" si="12"/>
        <v>0</v>
      </c>
      <c r="T24" s="293">
        <f t="shared" ca="1" si="12"/>
        <v>0</v>
      </c>
      <c r="U24" s="293">
        <f t="shared" ca="1" si="12"/>
        <v>0</v>
      </c>
      <c r="V24" s="293">
        <f t="shared" ca="1" si="12"/>
        <v>0</v>
      </c>
      <c r="W24" s="293">
        <f t="shared" ca="1" si="12"/>
        <v>0</v>
      </c>
      <c r="X24" s="293">
        <f t="shared" ca="1" si="12"/>
        <v>0</v>
      </c>
      <c r="Y24" s="293">
        <f t="shared" ca="1" si="12"/>
        <v>0</v>
      </c>
      <c r="Z24" s="293">
        <f t="shared" ca="1" si="12"/>
        <v>0</v>
      </c>
      <c r="AA24" s="293">
        <f t="shared" ca="1" si="12"/>
        <v>0</v>
      </c>
      <c r="AB24" s="293">
        <f t="shared" ca="1" si="12"/>
        <v>0</v>
      </c>
      <c r="AC24" s="293">
        <f t="shared" ca="1" si="12"/>
        <v>0</v>
      </c>
      <c r="AD24" s="293">
        <f t="shared" ca="1" si="12"/>
        <v>0</v>
      </c>
      <c r="AE24" s="293">
        <f t="shared" ca="1" si="12"/>
        <v>0</v>
      </c>
      <c r="AF24" s="293">
        <f t="shared" ca="1" si="12"/>
        <v>0</v>
      </c>
      <c r="AG24" s="293">
        <f t="shared" ca="1" si="12"/>
        <v>0</v>
      </c>
      <c r="AH24" s="293">
        <f t="shared" ca="1" si="12"/>
        <v>0</v>
      </c>
      <c r="AI24" s="293">
        <f t="shared" ca="1" si="12"/>
        <v>0</v>
      </c>
      <c r="AJ24" s="293">
        <f t="shared" ca="1" si="12"/>
        <v>0</v>
      </c>
      <c r="AK24" s="293">
        <f t="shared" ca="1" si="12"/>
        <v>0</v>
      </c>
      <c r="AL24" s="293">
        <f t="shared" ca="1" si="12"/>
        <v>0</v>
      </c>
      <c r="AM24" s="293">
        <f t="shared" ca="1" si="12"/>
        <v>0</v>
      </c>
      <c r="AN24" s="293">
        <f t="shared" ca="1" si="12"/>
        <v>0</v>
      </c>
      <c r="AO24" s="293">
        <f t="shared" ca="1" si="12"/>
        <v>0</v>
      </c>
      <c r="AP24" s="293">
        <f t="shared" ca="1" si="12"/>
        <v>0</v>
      </c>
      <c r="AQ24" s="293">
        <f t="shared" ca="1" si="12"/>
        <v>0</v>
      </c>
      <c r="AR24" s="293">
        <f t="shared" ca="1" si="12"/>
        <v>0</v>
      </c>
      <c r="AS24" s="293">
        <f t="shared" ca="1" si="12"/>
        <v>0</v>
      </c>
      <c r="AT24" s="293">
        <f t="shared" ca="1" si="12"/>
        <v>0</v>
      </c>
      <c r="AU24" s="293">
        <f t="shared" ca="1" si="12"/>
        <v>0</v>
      </c>
      <c r="AV24" s="293">
        <f t="shared" ca="1" si="12"/>
        <v>0</v>
      </c>
      <c r="AW24" s="293">
        <f t="shared" ca="1" si="12"/>
        <v>0</v>
      </c>
      <c r="AX24" s="293">
        <f t="shared" ca="1" si="12"/>
        <v>0</v>
      </c>
      <c r="AY24" s="293">
        <f t="shared" ca="1" si="12"/>
        <v>0</v>
      </c>
      <c r="AZ24" s="293">
        <f t="shared" ca="1" si="12"/>
        <v>0</v>
      </c>
      <c r="BA24" s="293">
        <f t="shared" ca="1" si="12"/>
        <v>0</v>
      </c>
      <c r="BB24" s="293">
        <f t="shared" ca="1" si="12"/>
        <v>0</v>
      </c>
      <c r="BC24" s="293">
        <f t="shared" ca="1" si="12"/>
        <v>0</v>
      </c>
    </row>
    <row r="39" spans="1:1" x14ac:dyDescent="0.15">
      <c r="A39" s="54" t="s">
        <v>46</v>
      </c>
    </row>
    <row r="40" spans="1:1" x14ac:dyDescent="0.15">
      <c r="A40" s="54" t="s">
        <v>46</v>
      </c>
    </row>
    <row r="41" spans="1:1" x14ac:dyDescent="0.15">
      <c r="A41" s="54" t="s">
        <v>46</v>
      </c>
    </row>
    <row r="42" spans="1:1" x14ac:dyDescent="0.15">
      <c r="A42" s="54" t="s">
        <v>46</v>
      </c>
    </row>
    <row r="43" spans="1:1" x14ac:dyDescent="0.15">
      <c r="A43" s="54" t="s">
        <v>46</v>
      </c>
    </row>
    <row r="44" spans="1:1" x14ac:dyDescent="0.15">
      <c r="A44" s="54" t="s">
        <v>46</v>
      </c>
    </row>
    <row r="45" spans="1:1" x14ac:dyDescent="0.15">
      <c r="A45" s="54" t="s">
        <v>46</v>
      </c>
    </row>
    <row r="46" spans="1:1" x14ac:dyDescent="0.15">
      <c r="A46" s="54" t="s">
        <v>46</v>
      </c>
    </row>
    <row r="47" spans="1:1" x14ac:dyDescent="0.15">
      <c r="A47" s="54" t="s">
        <v>46</v>
      </c>
    </row>
    <row r="48" spans="1:1" x14ac:dyDescent="0.15">
      <c r="A48" s="54" t="s">
        <v>46</v>
      </c>
    </row>
    <row r="49" spans="1:1" x14ac:dyDescent="0.15">
      <c r="A49" s="54" t="s">
        <v>46</v>
      </c>
    </row>
    <row r="50" spans="1:1" x14ac:dyDescent="0.15">
      <c r="A50" s="54" t="s">
        <v>46</v>
      </c>
    </row>
    <row r="51" spans="1:1" x14ac:dyDescent="0.15">
      <c r="A51" s="54" t="s">
        <v>46</v>
      </c>
    </row>
    <row r="52" spans="1:1" x14ac:dyDescent="0.15">
      <c r="A52" s="54" t="s">
        <v>46</v>
      </c>
    </row>
    <row r="53" spans="1:1" x14ac:dyDescent="0.15">
      <c r="A53" s="54" t="s">
        <v>46</v>
      </c>
    </row>
    <row r="54" spans="1:1" x14ac:dyDescent="0.15">
      <c r="A54" s="54" t="s">
        <v>46</v>
      </c>
    </row>
    <row r="55" spans="1:1" x14ac:dyDescent="0.15">
      <c r="A55" s="54" t="s">
        <v>46</v>
      </c>
    </row>
    <row r="56" spans="1:1" x14ac:dyDescent="0.15">
      <c r="A56" s="54" t="s">
        <v>46</v>
      </c>
    </row>
    <row r="57" spans="1:1" x14ac:dyDescent="0.15">
      <c r="A57" s="54" t="s">
        <v>46</v>
      </c>
    </row>
    <row r="58" spans="1:1" x14ac:dyDescent="0.15">
      <c r="A58" s="54" t="s">
        <v>46</v>
      </c>
    </row>
    <row r="59" spans="1:1" x14ac:dyDescent="0.15">
      <c r="A59" s="54" t="s">
        <v>46</v>
      </c>
    </row>
    <row r="60" spans="1:1" x14ac:dyDescent="0.15">
      <c r="A60" s="54" t="s">
        <v>46</v>
      </c>
    </row>
    <row r="61" spans="1:1" x14ac:dyDescent="0.15">
      <c r="A61" s="54" t="s">
        <v>46</v>
      </c>
    </row>
    <row r="62" spans="1:1" x14ac:dyDescent="0.15">
      <c r="A62" s="54" t="s">
        <v>46</v>
      </c>
    </row>
    <row r="63" spans="1:1" x14ac:dyDescent="0.15">
      <c r="A63" s="54" t="s">
        <v>46</v>
      </c>
    </row>
    <row r="64" spans="1:1" x14ac:dyDescent="0.15">
      <c r="A64" s="54" t="s">
        <v>46</v>
      </c>
    </row>
    <row r="65" spans="1:1" x14ac:dyDescent="0.15">
      <c r="A65" s="54" t="s">
        <v>46</v>
      </c>
    </row>
    <row r="66" spans="1:1" x14ac:dyDescent="0.15">
      <c r="A66" s="54" t="s">
        <v>46</v>
      </c>
    </row>
    <row r="67" spans="1:1" x14ac:dyDescent="0.15">
      <c r="A67" s="54" t="s">
        <v>46</v>
      </c>
    </row>
    <row r="68" spans="1:1" x14ac:dyDescent="0.15">
      <c r="A68" s="54" t="s">
        <v>46</v>
      </c>
    </row>
    <row r="69" spans="1:1" x14ac:dyDescent="0.15">
      <c r="A69" s="54" t="s">
        <v>46</v>
      </c>
    </row>
    <row r="70" spans="1:1" x14ac:dyDescent="0.15">
      <c r="A70" s="54" t="s">
        <v>46</v>
      </c>
    </row>
    <row r="71" spans="1:1" x14ac:dyDescent="0.15">
      <c r="A71" s="54" t="s">
        <v>46</v>
      </c>
    </row>
    <row r="72" spans="1:1" x14ac:dyDescent="0.15">
      <c r="A72" s="54" t="s">
        <v>46</v>
      </c>
    </row>
    <row r="73" spans="1:1" x14ac:dyDescent="0.15">
      <c r="A73" s="54" t="s">
        <v>46</v>
      </c>
    </row>
    <row r="74" spans="1:1" x14ac:dyDescent="0.15">
      <c r="A74" s="54" t="s">
        <v>46</v>
      </c>
    </row>
    <row r="75" spans="1:1" x14ac:dyDescent="0.15">
      <c r="A75" s="54" t="s">
        <v>46</v>
      </c>
    </row>
    <row r="76" spans="1:1" x14ac:dyDescent="0.15">
      <c r="A76" s="54" t="s">
        <v>46</v>
      </c>
    </row>
    <row r="77" spans="1:1" x14ac:dyDescent="0.15">
      <c r="A77" s="54" t="s">
        <v>46</v>
      </c>
    </row>
    <row r="78" spans="1:1" x14ac:dyDescent="0.15">
      <c r="A78" s="54" t="s">
        <v>46</v>
      </c>
    </row>
    <row r="79" spans="1:1" x14ac:dyDescent="0.15">
      <c r="A79" s="54" t="s">
        <v>46</v>
      </c>
    </row>
    <row r="80" spans="1:1" x14ac:dyDescent="0.15">
      <c r="A80" s="54" t="s">
        <v>46</v>
      </c>
    </row>
    <row r="81" spans="1:1" x14ac:dyDescent="0.15">
      <c r="A81" s="54" t="s">
        <v>46</v>
      </c>
    </row>
    <row r="82" spans="1:1" x14ac:dyDescent="0.15">
      <c r="A82" s="54" t="s">
        <v>46</v>
      </c>
    </row>
    <row r="83" spans="1:1" x14ac:dyDescent="0.15">
      <c r="A83" s="54" t="s">
        <v>46</v>
      </c>
    </row>
    <row r="84" spans="1:1" x14ac:dyDescent="0.15">
      <c r="A84" s="54" t="s">
        <v>46</v>
      </c>
    </row>
    <row r="85" spans="1:1" x14ac:dyDescent="0.15">
      <c r="A85" s="54" t="s">
        <v>46</v>
      </c>
    </row>
    <row r="86" spans="1:1" x14ac:dyDescent="0.15">
      <c r="A86" s="54" t="s">
        <v>46</v>
      </c>
    </row>
    <row r="87" spans="1:1" x14ac:dyDescent="0.15">
      <c r="A87" s="54" t="s">
        <v>46</v>
      </c>
    </row>
  </sheetData>
  <pageMargins left="0.7" right="0.7" top="0.75" bottom="0.75" header="0.3" footer="0.3"/>
  <pageSetup scale="65" fitToWidth="0" fitToHeight="0"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rgb="FF92D050"/>
  </sheetPr>
  <dimension ref="A1:BB96"/>
  <sheetViews>
    <sheetView workbookViewId="0">
      <pane xSplit="6" ySplit="3" topLeftCell="G4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baseColWidth="10" defaultColWidth="8.83203125" defaultRowHeight="13" x14ac:dyDescent="0.15"/>
  <cols>
    <col min="1" max="1" width="56.5" style="54" customWidth="1"/>
    <col min="2" max="2" width="12.5" style="54" customWidth="1"/>
    <col min="3" max="3" width="13.1640625" style="76" customWidth="1"/>
    <col min="4" max="6" width="13.1640625" style="54" customWidth="1"/>
    <col min="7" max="7" width="11.5" style="54" customWidth="1"/>
    <col min="8" max="54" width="11.5" style="52" customWidth="1"/>
  </cols>
  <sheetData>
    <row r="1" spans="1:54" ht="18" x14ac:dyDescent="0.2">
      <c r="A1" s="206" t="str">
        <f>Main!H1</f>
        <v>BobCo</v>
      </c>
      <c r="B1" s="27"/>
      <c r="C1" s="28" t="s">
        <v>48</v>
      </c>
      <c r="D1" s="29"/>
      <c r="E1" s="29"/>
      <c r="F1" s="29"/>
      <c r="G1" s="30" t="s">
        <v>56</v>
      </c>
      <c r="H1" s="31"/>
      <c r="I1" s="31"/>
      <c r="J1" s="31"/>
      <c r="K1" s="30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ht="16" x14ac:dyDescent="0.2">
      <c r="A2" s="332" t="s">
        <v>227</v>
      </c>
      <c r="B2" s="16"/>
      <c r="D2" s="33"/>
      <c r="E2" s="33"/>
      <c r="F2" s="33"/>
      <c r="G2" s="34">
        <f t="shared" ref="G2:BB2" si="0">YEAR(G3)</f>
        <v>2019</v>
      </c>
      <c r="H2" s="35">
        <f t="shared" si="0"/>
        <v>2019</v>
      </c>
      <c r="I2" s="35">
        <f t="shared" si="0"/>
        <v>2019</v>
      </c>
      <c r="J2" s="35">
        <f t="shared" si="0"/>
        <v>2019</v>
      </c>
      <c r="K2" s="35">
        <f t="shared" si="0"/>
        <v>2019</v>
      </c>
      <c r="L2" s="35">
        <f t="shared" si="0"/>
        <v>2019</v>
      </c>
      <c r="M2" s="35">
        <f t="shared" si="0"/>
        <v>2019</v>
      </c>
      <c r="N2" s="35">
        <f t="shared" si="0"/>
        <v>2019</v>
      </c>
      <c r="O2" s="35">
        <f t="shared" si="0"/>
        <v>2019</v>
      </c>
      <c r="P2" s="35">
        <f t="shared" si="0"/>
        <v>2019</v>
      </c>
      <c r="Q2" s="35">
        <f t="shared" si="0"/>
        <v>2019</v>
      </c>
      <c r="R2" s="35">
        <f t="shared" si="0"/>
        <v>2019</v>
      </c>
      <c r="S2" s="35">
        <f t="shared" si="0"/>
        <v>2020</v>
      </c>
      <c r="T2" s="35">
        <f t="shared" si="0"/>
        <v>2020</v>
      </c>
      <c r="U2" s="35">
        <f t="shared" si="0"/>
        <v>2020</v>
      </c>
      <c r="V2" s="35">
        <f t="shared" si="0"/>
        <v>2020</v>
      </c>
      <c r="W2" s="35">
        <f t="shared" si="0"/>
        <v>2020</v>
      </c>
      <c r="X2" s="35">
        <f t="shared" si="0"/>
        <v>2020</v>
      </c>
      <c r="Y2" s="35">
        <f t="shared" si="0"/>
        <v>2020</v>
      </c>
      <c r="Z2" s="35">
        <f t="shared" si="0"/>
        <v>2020</v>
      </c>
      <c r="AA2" s="35">
        <f t="shared" si="0"/>
        <v>2020</v>
      </c>
      <c r="AB2" s="35">
        <f t="shared" si="0"/>
        <v>2020</v>
      </c>
      <c r="AC2" s="35">
        <f t="shared" si="0"/>
        <v>2020</v>
      </c>
      <c r="AD2" s="35">
        <f t="shared" si="0"/>
        <v>2020</v>
      </c>
      <c r="AE2" s="35">
        <f t="shared" si="0"/>
        <v>2021</v>
      </c>
      <c r="AF2" s="35">
        <f t="shared" si="0"/>
        <v>2021</v>
      </c>
      <c r="AG2" s="35">
        <f t="shared" si="0"/>
        <v>2021</v>
      </c>
      <c r="AH2" s="35">
        <f t="shared" si="0"/>
        <v>2021</v>
      </c>
      <c r="AI2" s="35">
        <f t="shared" si="0"/>
        <v>2021</v>
      </c>
      <c r="AJ2" s="35">
        <f t="shared" si="0"/>
        <v>2021</v>
      </c>
      <c r="AK2" s="35">
        <f t="shared" si="0"/>
        <v>2021</v>
      </c>
      <c r="AL2" s="35">
        <f t="shared" si="0"/>
        <v>2021</v>
      </c>
      <c r="AM2" s="35">
        <f t="shared" si="0"/>
        <v>2021</v>
      </c>
      <c r="AN2" s="35">
        <f t="shared" si="0"/>
        <v>2021</v>
      </c>
      <c r="AO2" s="35">
        <f t="shared" si="0"/>
        <v>2021</v>
      </c>
      <c r="AP2" s="35">
        <f t="shared" si="0"/>
        <v>2021</v>
      </c>
      <c r="AQ2" s="35">
        <f t="shared" si="0"/>
        <v>2022</v>
      </c>
      <c r="AR2" s="35">
        <f t="shared" si="0"/>
        <v>2022</v>
      </c>
      <c r="AS2" s="35">
        <f t="shared" si="0"/>
        <v>2022</v>
      </c>
      <c r="AT2" s="35">
        <f t="shared" si="0"/>
        <v>2022</v>
      </c>
      <c r="AU2" s="35">
        <f t="shared" si="0"/>
        <v>2022</v>
      </c>
      <c r="AV2" s="35">
        <f t="shared" si="0"/>
        <v>2022</v>
      </c>
      <c r="AW2" s="35">
        <f t="shared" si="0"/>
        <v>2022</v>
      </c>
      <c r="AX2" s="35">
        <f t="shared" si="0"/>
        <v>2022</v>
      </c>
      <c r="AY2" s="35">
        <f t="shared" si="0"/>
        <v>2022</v>
      </c>
      <c r="AZ2" s="35">
        <f t="shared" si="0"/>
        <v>2022</v>
      </c>
      <c r="BA2" s="35">
        <f t="shared" si="0"/>
        <v>2022</v>
      </c>
      <c r="BB2" s="35">
        <f t="shared" si="0"/>
        <v>2022</v>
      </c>
    </row>
    <row r="3" spans="1:54" x14ac:dyDescent="0.15">
      <c r="A3" s="53"/>
      <c r="B3" s="36" t="s">
        <v>5</v>
      </c>
      <c r="C3" s="37">
        <f>YEAR(Main!$H$2)</f>
        <v>2019</v>
      </c>
      <c r="D3" s="38">
        <f>C3+1</f>
        <v>2020</v>
      </c>
      <c r="E3" s="38">
        <f t="shared" ref="E3:F3" si="1">D3+1</f>
        <v>2021</v>
      </c>
      <c r="F3" s="38">
        <f t="shared" si="1"/>
        <v>2022</v>
      </c>
      <c r="G3" s="39">
        <f>EOMONTH(Main!$H$2,0)</f>
        <v>43496</v>
      </c>
      <c r="H3" s="40">
        <f>EOMONTH(G3,1)</f>
        <v>43524</v>
      </c>
      <c r="I3" s="40">
        <f>EOMONTH(H3,1)</f>
        <v>43555</v>
      </c>
      <c r="J3" s="40">
        <f t="shared" ref="J3:BB3" si="2">EOMONTH(I3,1)</f>
        <v>43585</v>
      </c>
      <c r="K3" s="40">
        <f t="shared" si="2"/>
        <v>43616</v>
      </c>
      <c r="L3" s="40">
        <f t="shared" si="2"/>
        <v>43646</v>
      </c>
      <c r="M3" s="40">
        <f t="shared" si="2"/>
        <v>43677</v>
      </c>
      <c r="N3" s="40">
        <f t="shared" si="2"/>
        <v>43708</v>
      </c>
      <c r="O3" s="40">
        <f t="shared" si="2"/>
        <v>43738</v>
      </c>
      <c r="P3" s="40">
        <f t="shared" si="2"/>
        <v>43769</v>
      </c>
      <c r="Q3" s="40">
        <f t="shared" si="2"/>
        <v>43799</v>
      </c>
      <c r="R3" s="40">
        <f t="shared" si="2"/>
        <v>43830</v>
      </c>
      <c r="S3" s="40">
        <f t="shared" si="2"/>
        <v>43861</v>
      </c>
      <c r="T3" s="40">
        <f t="shared" si="2"/>
        <v>43890</v>
      </c>
      <c r="U3" s="40">
        <f t="shared" si="2"/>
        <v>43921</v>
      </c>
      <c r="V3" s="40">
        <f t="shared" si="2"/>
        <v>43951</v>
      </c>
      <c r="W3" s="40">
        <f t="shared" si="2"/>
        <v>43982</v>
      </c>
      <c r="X3" s="40">
        <f t="shared" si="2"/>
        <v>44012</v>
      </c>
      <c r="Y3" s="40">
        <f t="shared" si="2"/>
        <v>44043</v>
      </c>
      <c r="Z3" s="40">
        <f t="shared" si="2"/>
        <v>44074</v>
      </c>
      <c r="AA3" s="40">
        <f t="shared" si="2"/>
        <v>44104</v>
      </c>
      <c r="AB3" s="40">
        <f t="shared" si="2"/>
        <v>44135</v>
      </c>
      <c r="AC3" s="40">
        <f t="shared" si="2"/>
        <v>44165</v>
      </c>
      <c r="AD3" s="40">
        <f t="shared" si="2"/>
        <v>44196</v>
      </c>
      <c r="AE3" s="40">
        <f t="shared" si="2"/>
        <v>44227</v>
      </c>
      <c r="AF3" s="40">
        <f t="shared" si="2"/>
        <v>44255</v>
      </c>
      <c r="AG3" s="40">
        <f t="shared" si="2"/>
        <v>44286</v>
      </c>
      <c r="AH3" s="40">
        <f t="shared" si="2"/>
        <v>44316</v>
      </c>
      <c r="AI3" s="40">
        <f t="shared" si="2"/>
        <v>44347</v>
      </c>
      <c r="AJ3" s="40">
        <f t="shared" si="2"/>
        <v>44377</v>
      </c>
      <c r="AK3" s="40">
        <f t="shared" si="2"/>
        <v>44408</v>
      </c>
      <c r="AL3" s="40">
        <f t="shared" si="2"/>
        <v>44439</v>
      </c>
      <c r="AM3" s="40">
        <f t="shared" si="2"/>
        <v>44469</v>
      </c>
      <c r="AN3" s="40">
        <f t="shared" si="2"/>
        <v>44500</v>
      </c>
      <c r="AO3" s="40">
        <f t="shared" si="2"/>
        <v>44530</v>
      </c>
      <c r="AP3" s="40">
        <f t="shared" si="2"/>
        <v>44561</v>
      </c>
      <c r="AQ3" s="40">
        <f t="shared" si="2"/>
        <v>44592</v>
      </c>
      <c r="AR3" s="40">
        <f t="shared" si="2"/>
        <v>44620</v>
      </c>
      <c r="AS3" s="40">
        <f t="shared" si="2"/>
        <v>44651</v>
      </c>
      <c r="AT3" s="40">
        <f t="shared" si="2"/>
        <v>44681</v>
      </c>
      <c r="AU3" s="40">
        <f t="shared" si="2"/>
        <v>44712</v>
      </c>
      <c r="AV3" s="40">
        <f t="shared" si="2"/>
        <v>44742</v>
      </c>
      <c r="AW3" s="40">
        <f t="shared" si="2"/>
        <v>44773</v>
      </c>
      <c r="AX3" s="40">
        <f t="shared" si="2"/>
        <v>44804</v>
      </c>
      <c r="AY3" s="40">
        <f t="shared" si="2"/>
        <v>44834</v>
      </c>
      <c r="AZ3" s="40">
        <f t="shared" si="2"/>
        <v>44865</v>
      </c>
      <c r="BA3" s="40">
        <f t="shared" si="2"/>
        <v>44895</v>
      </c>
      <c r="BB3" s="40">
        <f t="shared" si="2"/>
        <v>44926</v>
      </c>
    </row>
    <row r="4" spans="1:54" ht="16" x14ac:dyDescent="0.2">
      <c r="A4" s="204" t="s">
        <v>209</v>
      </c>
      <c r="B4" s="204"/>
      <c r="C4" s="211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</row>
    <row r="5" spans="1:54" x14ac:dyDescent="0.15">
      <c r="A5" s="47" t="s">
        <v>1</v>
      </c>
      <c r="C5" s="172">
        <f t="shared" ref="C5:F8" ca="1" si="3">SUMIFS($G5:$BB5,$G$2:$BB$2,C$3)</f>
        <v>-546068.95040058892</v>
      </c>
      <c r="D5" s="171">
        <f t="shared" ca="1" si="3"/>
        <v>-1615625.2889011656</v>
      </c>
      <c r="E5" s="171">
        <f t="shared" ca="1" si="3"/>
        <v>-2010913.5478922676</v>
      </c>
      <c r="F5" s="171">
        <f t="shared" ca="1" si="3"/>
        <v>1079288.9211054656</v>
      </c>
      <c r="G5" s="171">
        <f ca="1">IS!G48</f>
        <v>-40860.006958333339</v>
      </c>
      <c r="H5" s="171">
        <f ca="1">IS!H48</f>
        <v>-40527.860588009498</v>
      </c>
      <c r="I5" s="171">
        <f ca="1">IS!I48</f>
        <v>-40356.082860997129</v>
      </c>
      <c r="J5" s="171">
        <f ca="1">IS!J48</f>
        <v>-40050.795611345951</v>
      </c>
      <c r="K5" s="171">
        <f ca="1">IS!K48</f>
        <v>-39887.752984944556</v>
      </c>
      <c r="L5" s="171">
        <f ca="1">IS!L48</f>
        <v>-39795.480554892856</v>
      </c>
      <c r="M5" s="171">
        <f ca="1">IS!M48</f>
        <v>-54730.024125897122</v>
      </c>
      <c r="N5" s="171">
        <f ca="1">IS!N48</f>
        <v>-52672.767214193605</v>
      </c>
      <c r="O5" s="171">
        <f ca="1">IS!O48</f>
        <v>-50554.935490754724</v>
      </c>
      <c r="P5" s="171">
        <f ca="1">IS!P48</f>
        <v>-49451.657980740485</v>
      </c>
      <c r="Q5" s="171">
        <f ca="1">IS!Q48</f>
        <v>-48803.224136808341</v>
      </c>
      <c r="R5" s="171">
        <f ca="1">IS!R48</f>
        <v>-48378.361893671252</v>
      </c>
      <c r="S5" s="171">
        <f ca="1">IS!S48</f>
        <v>-142632.66539728755</v>
      </c>
      <c r="T5" s="171">
        <f ca="1">IS!T48</f>
        <v>-131655.31427085729</v>
      </c>
      <c r="U5" s="171">
        <f ca="1">IS!U48</f>
        <v>-123129.37248953877</v>
      </c>
      <c r="V5" s="171">
        <f ca="1">IS!V48</f>
        <v>-127161.14687375768</v>
      </c>
      <c r="W5" s="171">
        <f ca="1">IS!W48</f>
        <v>-122938.06769226033</v>
      </c>
      <c r="X5" s="171">
        <f ca="1">IS!X48</f>
        <v>-119782.57152832826</v>
      </c>
      <c r="Y5" s="171">
        <f ca="1">IS!Y48</f>
        <v>-137030.81568128712</v>
      </c>
      <c r="Z5" s="171">
        <f ca="1">IS!Z48</f>
        <v>-139705.7982827324</v>
      </c>
      <c r="AA5" s="171">
        <f ca="1">IS!AA48</f>
        <v>-135781.72427800152</v>
      </c>
      <c r="AB5" s="171">
        <f ca="1">IS!AB48</f>
        <v>-147802.38541793809</v>
      </c>
      <c r="AC5" s="171">
        <f ca="1">IS!AC48</f>
        <v>-145177.19877671468</v>
      </c>
      <c r="AD5" s="171">
        <f ca="1">IS!AD48</f>
        <v>-142828.22821246198</v>
      </c>
      <c r="AE5" s="171">
        <f ca="1">IS!AE48</f>
        <v>-202416.03735711169</v>
      </c>
      <c r="AF5" s="171">
        <f ca="1">IS!AF48</f>
        <v>-184564.74376189488</v>
      </c>
      <c r="AG5" s="171">
        <f ca="1">IS!AG48</f>
        <v>-170961.95996979979</v>
      </c>
      <c r="AH5" s="171">
        <f ca="1">IS!AH48</f>
        <v>-182110.57439793047</v>
      </c>
      <c r="AI5" s="171">
        <f ca="1">IS!AI48</f>
        <v>-173660.29247088134</v>
      </c>
      <c r="AJ5" s="171">
        <f ca="1">IS!AJ48</f>
        <v>-166705.13415860379</v>
      </c>
      <c r="AK5" s="171">
        <f ca="1">IS!AK48</f>
        <v>-166784.41426186083</v>
      </c>
      <c r="AL5" s="171">
        <f ca="1">IS!AL48</f>
        <v>-158398.54662945896</v>
      </c>
      <c r="AM5" s="171">
        <f ca="1">IS!AM48</f>
        <v>-151338.66027162978</v>
      </c>
      <c r="AN5" s="171">
        <f ca="1">IS!AN48</f>
        <v>-161540.04411371425</v>
      </c>
      <c r="AO5" s="171">
        <f ca="1">IS!AO48</f>
        <v>-151085.58081952686</v>
      </c>
      <c r="AP5" s="171">
        <f ca="1">IS!AP48</f>
        <v>-141347.55967985519</v>
      </c>
      <c r="AQ5" s="171">
        <f ca="1">IS!AQ48</f>
        <v>-93705.269337062229</v>
      </c>
      <c r="AR5" s="171">
        <f ca="1">IS!AR48</f>
        <v>-37275.801274664103</v>
      </c>
      <c r="AS5" s="171">
        <f ca="1">IS!AS48</f>
        <v>-2531.9755733365837</v>
      </c>
      <c r="AT5" s="171">
        <f ca="1">IS!AT48</f>
        <v>31956.435517509726</v>
      </c>
      <c r="AU5" s="171">
        <f ca="1">IS!AU48</f>
        <v>67166.315164606931</v>
      </c>
      <c r="AV5" s="171">
        <f ca="1">IS!AV48</f>
        <v>86804.777239362054</v>
      </c>
      <c r="AW5" s="171">
        <f ca="1">IS!AW48</f>
        <v>115585.69613356415</v>
      </c>
      <c r="AX5" s="171">
        <f ca="1">IS!AX48</f>
        <v>142456.61993743663</v>
      </c>
      <c r="AY5" s="171">
        <f ca="1">IS!AY48</f>
        <v>162352.5642056831</v>
      </c>
      <c r="AZ5" s="171">
        <f ca="1">IS!AZ48</f>
        <v>176092.30284506417</v>
      </c>
      <c r="BA5" s="171">
        <f ca="1">IS!BA48</f>
        <v>202028.57986464328</v>
      </c>
      <c r="BB5" s="171">
        <f ca="1">IS!BB48</f>
        <v>228358.67638265842</v>
      </c>
    </row>
    <row r="6" spans="1:54" x14ac:dyDescent="0.15">
      <c r="A6" s="95" t="s">
        <v>222</v>
      </c>
      <c r="C6" s="172">
        <f t="shared" ca="1" si="3"/>
        <v>-301971.57671754848</v>
      </c>
      <c r="D6" s="171">
        <f t="shared" ca="1" si="3"/>
        <v>-923406.73358359351</v>
      </c>
      <c r="E6" s="171">
        <f t="shared" ca="1" si="3"/>
        <v>-1197340.391785918</v>
      </c>
      <c r="F6" s="171">
        <f t="shared" ca="1" si="3"/>
        <v>219357.90514966333</v>
      </c>
      <c r="G6" s="171">
        <f ca="1">-(SUM(BS!H6,BS!H8,BS!H9)-SUM(BS!G6,BS!G8,BS!G9))</f>
        <v>-22503.542208333332</v>
      </c>
      <c r="H6" s="171">
        <f ca="1">-(SUM(BS!I6,BS!I8,BS!I9)-SUM(BS!H6,BS!H8,BS!H9))</f>
        <v>-22086.093346219102</v>
      </c>
      <c r="I6" s="171">
        <f ca="1">-(SUM(BS!J6,BS!J8,BS!J9)-SUM(BS!I6,BS!I8,BS!I9))</f>
        <v>-21866.421879166861</v>
      </c>
      <c r="J6" s="171">
        <f ca="1">-(SUM(BS!K6,BS!K8,BS!K9)-SUM(BS!J6,BS!J8,BS!J9))</f>
        <v>-21807.912347149148</v>
      </c>
      <c r="K6" s="171">
        <f ca="1">-(SUM(BS!L6,BS!L8,BS!L9)-SUM(BS!K6,BS!K8,BS!K9))</f>
        <v>-21607.317131783304</v>
      </c>
      <c r="L6" s="171">
        <f ca="1">-(SUM(BS!M6,BS!M8,BS!M9)-SUM(BS!L6,BS!L8,BS!L9))</f>
        <v>-21501.509696133187</v>
      </c>
      <c r="M6" s="171">
        <f ca="1">-(SUM(BS!N6,BS!N8,BS!N9)-SUM(BS!M6,BS!M8,BS!M9))</f>
        <v>-31021.266189251852</v>
      </c>
      <c r="N6" s="171">
        <f ca="1">-(SUM(BS!O6,BS!O8,BS!O9)-SUM(BS!N6,BS!N8,BS!N9))</f>
        <v>-29993.708049279114</v>
      </c>
      <c r="O6" s="171">
        <f ca="1">-(SUM(BS!P6,BS!P8,BS!P9)-SUM(BS!O6,BS!O8,BS!O9))</f>
        <v>-28901.37424398202</v>
      </c>
      <c r="P6" s="171">
        <f ca="1">-(SUM(BS!Q6,BS!Q8,BS!Q9)-SUM(BS!P6,BS!P8,BS!P9))</f>
        <v>-27502.738524137239</v>
      </c>
      <c r="Q6" s="171">
        <f ca="1">-(SUM(BS!R6,BS!R8,BS!R9)-SUM(BS!Q6,BS!Q8,BS!Q9))</f>
        <v>-26792.881072819233</v>
      </c>
      <c r="R6" s="171">
        <f ca="1">-(SUM(BS!S6,BS!S8,BS!S9)-SUM(BS!R6,BS!R8,BS!R9))</f>
        <v>-26386.812029294088</v>
      </c>
      <c r="S6" s="171">
        <f ca="1">-(SUM(BS!T6,BS!T8,BS!T9)-SUM(BS!S6,BS!S8,BS!S9))</f>
        <v>-88477.944595142908</v>
      </c>
      <c r="T6" s="171">
        <f ca="1">-(SUM(BS!U6,BS!U8,BS!U9)-SUM(BS!T6,BS!T8,BS!T9))</f>
        <v>-79596.597554593463</v>
      </c>
      <c r="U6" s="171">
        <f ca="1">-(SUM(BS!V6,BS!V8,BS!V9)-SUM(BS!U6,BS!U8,BS!U9))</f>
        <v>-73061.685726974858</v>
      </c>
      <c r="V6" s="171">
        <f ca="1">-(SUM(BS!W6,BS!W8,BS!W9)-SUM(BS!V6,BS!V8,BS!V9))</f>
        <v>-73142.690832623048</v>
      </c>
      <c r="W6" s="171">
        <f ca="1">-(SUM(BS!X6,BS!X8,BS!X9)-SUM(BS!W6,BS!W8,BS!W9))</f>
        <v>-69553.824409364955</v>
      </c>
      <c r="X6" s="171">
        <f ca="1">-(SUM(BS!Y6,BS!Y8,BS!Y9)-SUM(BS!X6,BS!X8,BS!X9))</f>
        <v>-67013.64944704494</v>
      </c>
      <c r="Y6" s="171">
        <f ca="1">-(SUM(BS!Z6,BS!Z8,BS!Z9)-SUM(BS!Y6,BS!Y8,BS!Y9))</f>
        <v>-76609.478013452026</v>
      </c>
      <c r="Z6" s="171">
        <f ca="1">-(SUM(BS!AA6,BS!AA8,BS!AA9)-SUM(BS!Z6,BS!Z8,BS!Z9))</f>
        <v>-78282.193474017549</v>
      </c>
      <c r="AA6" s="171">
        <f ca="1">-(SUM(BS!AB6,BS!AB8,BS!AB9)-SUM(BS!AA6,BS!AA8,BS!AA9))</f>
        <v>-76351.782769279089</v>
      </c>
      <c r="AB6" s="171">
        <f ca="1">-(SUM(BS!AC6,BS!AC8,BS!AC9)-SUM(BS!AB6,BS!AB8,BS!AB9))</f>
        <v>-82137.844498138642</v>
      </c>
      <c r="AC6" s="171">
        <f ca="1">-(SUM(BS!AD6,BS!AD8,BS!AD9)-SUM(BS!AC6,BS!AC8,BS!AC9))</f>
        <v>-80336.209686469287</v>
      </c>
      <c r="AD6" s="171">
        <f ca="1">-(SUM(BS!AE6,BS!AE8,BS!AE9)-SUM(BS!AD6,BS!AD8,BS!AD9))</f>
        <v>-78842.832576492801</v>
      </c>
      <c r="AE6" s="171">
        <f ca="1">-(SUM(BS!AF6,BS!AF8,BS!AF9)-SUM(BS!AE6,BS!AE8,BS!AE9))</f>
        <v>-128675.47796905576</v>
      </c>
      <c r="AF6" s="171">
        <f ca="1">-(SUM(BS!AG6,BS!AG8,BS!AG9)-SUM(BS!AF6,BS!AF8,BS!AF9))</f>
        <v>-114134.10396546312</v>
      </c>
      <c r="AG6" s="171">
        <f ca="1">-(SUM(BS!AH6,BS!AH8,BS!AH9)-SUM(BS!AG6,BS!AG8,BS!AG9))</f>
        <v>-103294.08233115822</v>
      </c>
      <c r="AH6" s="171">
        <f ca="1">-(SUM(BS!AI6,BS!AI8,BS!AI9)-SUM(BS!AH6,BS!AH8,BS!AH9))</f>
        <v>-106798.95982635883</v>
      </c>
      <c r="AI6" s="171">
        <f ca="1">-(SUM(BS!AJ6,BS!AJ8,BS!AJ9)-SUM(BS!AI6,BS!AI8,BS!AI9))</f>
        <v>-100483.59594614757</v>
      </c>
      <c r="AJ6" s="171">
        <f ca="1">-(SUM(BS!AK6,BS!AK8,BS!AK9)-SUM(BS!AJ6,BS!AJ8,BS!AJ9))</f>
        <v>-95501.382393103093</v>
      </c>
      <c r="AK6" s="171">
        <f ca="1">-(SUM(BS!AL6,BS!AL8,BS!AL9)-SUM(BS!AK6,BS!AK8,BS!AK9))</f>
        <v>-98301.734940179624</v>
      </c>
      <c r="AL6" s="171">
        <f ca="1">-(SUM(BS!AM6,BS!AM8,BS!AM9)-SUM(BS!AL6,BS!AL8,BS!AL9))</f>
        <v>-92210.535222316859</v>
      </c>
      <c r="AM6" s="171">
        <f ca="1">-(SUM(BS!AN6,BS!AN8,BS!AN9)-SUM(BS!AM6,BS!AM8,BS!AM9))</f>
        <v>-87311.895587190054</v>
      </c>
      <c r="AN6" s="171">
        <f ca="1">-(SUM(BS!AO6,BS!AO8,BS!AO9)-SUM(BS!AN6,BS!AN8,BS!AN9))</f>
        <v>-96502.069027080666</v>
      </c>
      <c r="AO6" s="171">
        <f ca="1">-(SUM(BS!AP6,BS!AP8,BS!AP9)-SUM(BS!AO6,BS!AO8,BS!AO9))</f>
        <v>-89981.673039466608</v>
      </c>
      <c r="AP6" s="171">
        <f ca="1">-(SUM(BS!AQ6,BS!AQ8,BS!AQ9)-SUM(BS!AP6,BS!AP8,BS!AP9))</f>
        <v>-84144.881538397633</v>
      </c>
      <c r="AQ6" s="171">
        <f ca="1">-(SUM(BS!AR6,BS!AR8,BS!AR9)-SUM(BS!AQ6,BS!AQ8,BS!AQ9))</f>
        <v>-107626.27484643366</v>
      </c>
      <c r="AR6" s="171">
        <f ca="1">-(SUM(BS!AS6,BS!AS8,BS!AS9)-SUM(BS!AR6,BS!AR8,BS!AR9))</f>
        <v>-66711.865955743473</v>
      </c>
      <c r="AS6" s="171">
        <f ca="1">-(SUM(BS!AT6,BS!AT8,BS!AT9)-SUM(BS!AS6,BS!AS8,BS!AS9))</f>
        <v>-39889.783800408244</v>
      </c>
      <c r="AT6" s="171">
        <f ca="1">-(SUM(BS!AU6,BS!AU8,BS!AU9)-SUM(BS!AT6,BS!AT8,BS!AT9))</f>
        <v>-15928.130720917135</v>
      </c>
      <c r="AU6" s="171">
        <f ca="1">-(SUM(BS!AV6,BS!AV8,BS!AV9)-SUM(BS!AU6,BS!AU8,BS!AU9))</f>
        <v>7089.8433128944598</v>
      </c>
      <c r="AV6" s="171">
        <f ca="1">-(SUM(BS!AW6,BS!AW8,BS!AW9)-SUM(BS!AV6,BS!AV8,BS!AV9))</f>
        <v>20718.831786836963</v>
      </c>
      <c r="AW6" s="171">
        <f ca="1">-(SUM(BS!AX6,BS!AX8,BS!AX9)-SUM(BS!AW6,BS!AW8,BS!AW9))</f>
        <v>38484.500288728625</v>
      </c>
      <c r="AX6" s="171">
        <f ca="1">-(SUM(BS!AY6,BS!AY8,BS!AY9)-SUM(BS!AX6,BS!AX8,BS!AX9))</f>
        <v>54535.27793894941</v>
      </c>
      <c r="AY6" s="171">
        <f ca="1">-(SUM(BS!AZ6,BS!AZ8,BS!AZ9)-SUM(BS!AY6,BS!AY8,BS!AY9))</f>
        <v>66367.204140735324</v>
      </c>
      <c r="AZ6" s="171">
        <f ca="1">-(SUM(BS!BA6,BS!BA8,BS!BA9)-SUM(BS!AZ6,BS!AZ8,BS!AZ9))</f>
        <v>73683.49910806166</v>
      </c>
      <c r="BA6" s="171">
        <f ca="1">-(SUM(BS!BB6,BS!BB8,BS!BB9)-SUM(BS!BA6,BS!BA8,BS!BA9))</f>
        <v>87390.607618215028</v>
      </c>
      <c r="BB6" s="171">
        <f ca="1">-(SUM(BS!BC6,BS!BC8,BS!BC9)-SUM(BS!BB6,BS!BB8,BS!BB9))</f>
        <v>101244.19627874438</v>
      </c>
    </row>
    <row r="7" spans="1:54" x14ac:dyDescent="0.15">
      <c r="A7" s="95" t="s">
        <v>210</v>
      </c>
      <c r="C7" s="172">
        <f t="shared" ca="1" si="3"/>
        <v>43898.574112363101</v>
      </c>
      <c r="D7" s="171">
        <f t="shared" ca="1" si="3"/>
        <v>126108.39826665091</v>
      </c>
      <c r="E7" s="171">
        <f t="shared" ca="1" si="3"/>
        <v>113401.81328038429</v>
      </c>
      <c r="F7" s="171">
        <f t="shared" ca="1" si="3"/>
        <v>77408.255397499481</v>
      </c>
      <c r="G7" s="171">
        <f ca="1">SUM(BS!H13,BS!H15)-SUM(BS!G13,BS!G15)</f>
        <v>30682.774583333336</v>
      </c>
      <c r="H7" s="171">
        <f ca="1">SUM(BS!I13,BS!I15)-SUM(BS!H13,BS!H15)</f>
        <v>7.901975503340509</v>
      </c>
      <c r="I7" s="171">
        <f ca="1">SUM(BS!J13,BS!J15)-SUM(BS!I13,BS!I15)</f>
        <v>4.086702466593124</v>
      </c>
      <c r="J7" s="171">
        <f ca="1">SUM(BS!K13,BS!K15)-SUM(BS!J13,BS!J15)</f>
        <v>7.2629797696536116</v>
      </c>
      <c r="K7" s="171">
        <f ca="1">SUM(BS!L13,BS!L15)-SUM(BS!K13,BS!K15)</f>
        <v>3.8788888120870979</v>
      </c>
      <c r="L7" s="171">
        <f ca="1">SUM(BS!M13,BS!M15)-SUM(BS!L13,BS!L15)</f>
        <v>2.1952203818800626</v>
      </c>
      <c r="M7" s="171">
        <f ca="1">SUM(BS!N13,BS!N15)-SUM(BS!M13,BS!M15)</f>
        <v>13039.363637618197</v>
      </c>
      <c r="N7" s="171">
        <f ca="1">SUM(BS!O13,BS!O15)-SUM(BS!N13,BS!N15)</f>
        <v>48.943463402938505</v>
      </c>
      <c r="O7" s="171">
        <f ca="1">SUM(BS!P13,BS!P15)-SUM(BS!O13,BS!O15)</f>
        <v>50.384577084194461</v>
      </c>
      <c r="P7" s="171">
        <f ca="1">SUM(BS!Q13,BS!Q15)-SUM(BS!P13,BS!P15)</f>
        <v>26.24768065061653</v>
      </c>
      <c r="Q7" s="171">
        <f ca="1">SUM(BS!R13,BS!R15)-SUM(BS!Q13,BS!Q15)</f>
        <v>15.426657666903338</v>
      </c>
      <c r="R7" s="171">
        <f ca="1">SUM(BS!S13,BS!S15)-SUM(BS!R13,BS!R15)</f>
        <v>10.107745673361933</v>
      </c>
      <c r="S7" s="171">
        <f ca="1">SUM(BS!T13,BS!T15)-SUM(BS!S13,BS!S15)</f>
        <v>84179.050537846808</v>
      </c>
      <c r="T7" s="171">
        <f ca="1">SUM(BS!U13,BS!U15)-SUM(BS!T13,BS!T15)</f>
        <v>261.1582345701172</v>
      </c>
      <c r="U7" s="171">
        <f ca="1">SUM(BS!V13,BS!V15)-SUM(BS!U13,BS!U15)</f>
        <v>202.83763159361843</v>
      </c>
      <c r="V7" s="171">
        <f ca="1">SUM(BS!W13,BS!W15)-SUM(BS!V13,BS!V15)</f>
        <v>7772.6689653833891</v>
      </c>
      <c r="W7" s="171">
        <f ca="1">SUM(BS!X13,BS!X15)-SUM(BS!W13,BS!W15)</f>
        <v>107.88089699618286</v>
      </c>
      <c r="X7" s="171">
        <f ca="1">SUM(BS!Y13,BS!Y15)-SUM(BS!X13,BS!X15)</f>
        <v>88.036959535762435</v>
      </c>
      <c r="Y7" s="171">
        <f ca="1">SUM(BS!Z13,BS!Z15)-SUM(BS!Y13,BS!Y15)</f>
        <v>16091.534302727348</v>
      </c>
      <c r="Z7" s="171">
        <f ca="1">SUM(BS!AA13,BS!AA15)-SUM(BS!Z13,BS!Z15)</f>
        <v>5113.6733228887606</v>
      </c>
      <c r="AA7" s="171">
        <f ca="1">SUM(BS!AB13,BS!AB15)-SUM(BS!AA13,BS!AA15)</f>
        <v>220.02815440835548</v>
      </c>
      <c r="AB7" s="171">
        <f ca="1">SUM(BS!AC13,BS!AC15)-SUM(BS!AB13,BS!AB15)</f>
        <v>11798.607073046122</v>
      </c>
      <c r="AC7" s="171">
        <f ca="1">SUM(BS!AD13,BS!AD15)-SUM(BS!AC13,BS!AC15)</f>
        <v>144.49754422015394</v>
      </c>
      <c r="AD7" s="171">
        <f ca="1">SUM(BS!AE13,BS!AE15)-SUM(BS!AD13,BS!AD15)</f>
        <v>128.4246434342931</v>
      </c>
      <c r="AE7" s="171">
        <f ca="1">SUM(BS!AF13,BS!AF15)-SUM(BS!AE13,BS!AE15)</f>
        <v>65519.003349572507</v>
      </c>
      <c r="AF7" s="171">
        <f ca="1">SUM(BS!AG13,BS!AG15)-SUM(BS!AF13,BS!AF15)</f>
        <v>1021.323789660586</v>
      </c>
      <c r="AG7" s="171">
        <f ca="1">SUM(BS!AH13,BS!AH15)-SUM(BS!AG13,BS!AG15)</f>
        <v>773.96250734670321</v>
      </c>
      <c r="AH7" s="171">
        <f ca="1">SUM(BS!AI13,BS!AI15)-SUM(BS!AH13,BS!AH15)</f>
        <v>17315.277018343011</v>
      </c>
      <c r="AI7" s="171">
        <f ca="1">SUM(BS!AJ13,BS!AJ15)-SUM(BS!AI13,BS!AI15)</f>
        <v>473.99082563523552</v>
      </c>
      <c r="AJ7" s="171">
        <f ca="1">SUM(BS!AK13,BS!AK15)-SUM(BS!AJ13,BS!AJ15)</f>
        <v>386.95760594905005</v>
      </c>
      <c r="AK7" s="171">
        <f ca="1">SUM(BS!AL13,BS!AL15)-SUM(BS!AK13,BS!AK15)</f>
        <v>8555.7273401443963</v>
      </c>
      <c r="AL7" s="171">
        <f ca="1">SUM(BS!AM13,BS!AM15)-SUM(BS!AL13,BS!AL15)</f>
        <v>468.34270460688276</v>
      </c>
      <c r="AM7" s="171">
        <f ca="1">SUM(BS!AN13,BS!AN15)-SUM(BS!AM13,BS!AM15)</f>
        <v>391.1659349052934</v>
      </c>
      <c r="AN7" s="171">
        <f ca="1">SUM(BS!AO13,BS!AO15)-SUM(BS!AN13,BS!AN15)</f>
        <v>17366.186690530274</v>
      </c>
      <c r="AO7" s="171">
        <f ca="1">SUM(BS!AP13,BS!AP15)-SUM(BS!AO13,BS!AO15)</f>
        <v>586.0039103468298</v>
      </c>
      <c r="AP7" s="171">
        <f ca="1">SUM(BS!AQ13,BS!AQ15)-SUM(BS!AP13,BS!AP15)</f>
        <v>543.87160334351938</v>
      </c>
      <c r="AQ7" s="171">
        <f ca="1">SUM(BS!AR13,BS!AR15)-SUM(BS!AQ13,BS!AQ15)</f>
        <v>20521.675708943978</v>
      </c>
      <c r="AR7" s="171">
        <f ca="1">SUM(BS!AS13,BS!AS15)-SUM(BS!AR13,BS!AR15)</f>
        <v>3232.9975290793809</v>
      </c>
      <c r="AS7" s="171">
        <f ca="1">SUM(BS!AT13,BS!AT15)-SUM(BS!AS13,BS!AS15)</f>
        <v>11800.392567590869</v>
      </c>
      <c r="AT7" s="171">
        <f ca="1">SUM(BS!AU13,BS!AU15)-SUM(BS!AT13,BS!AT15)</f>
        <v>6605.8951604631729</v>
      </c>
      <c r="AU7" s="171">
        <f ca="1">SUM(BS!AV13,BS!AV15)-SUM(BS!AU13,BS!AU15)</f>
        <v>1992.1112779730465</v>
      </c>
      <c r="AV7" s="171">
        <f ca="1">SUM(BS!AW13,BS!AW15)-SUM(BS!AV13,BS!AV15)</f>
        <v>10915.692823007819</v>
      </c>
      <c r="AW7" s="171">
        <f ca="1">SUM(BS!AX13,BS!AX15)-SUM(BS!AW13,BS!AW15)</f>
        <v>1614.7830953424564</v>
      </c>
      <c r="AX7" s="171">
        <f ca="1">SUM(BS!AY13,BS!AY15)-SUM(BS!AX13,BS!AX15)</f>
        <v>1502.1914089994389</v>
      </c>
      <c r="AY7" s="171">
        <f ca="1">SUM(BS!AZ13,BS!AZ15)-SUM(BS!AY13,BS!AY15)</f>
        <v>5748.8348405967699</v>
      </c>
      <c r="AZ7" s="171">
        <f ca="1">SUM(BS!BA13,BS!BA15)-SUM(BS!AZ13,BS!AZ15)</f>
        <v>10566.403470525751</v>
      </c>
      <c r="BA7" s="171">
        <f ca="1">SUM(BS!BB13,BS!BB15)-SUM(BS!BA13,BS!BA15)</f>
        <v>1443.029986147536</v>
      </c>
      <c r="BB7" s="171">
        <f ca="1">SUM(BS!BC13,BS!BC15)-SUM(BS!BB13,BS!BB15)</f>
        <v>1464.2475288292626</v>
      </c>
    </row>
    <row r="8" spans="1:54" x14ac:dyDescent="0.15">
      <c r="A8" s="59" t="s">
        <v>29</v>
      </c>
      <c r="B8" s="59"/>
      <c r="C8" s="297">
        <f t="shared" ca="1" si="3"/>
        <v>-804141.95300577418</v>
      </c>
      <c r="D8" s="236">
        <f t="shared" ca="1" si="3"/>
        <v>-2412923.6242181081</v>
      </c>
      <c r="E8" s="236">
        <f t="shared" ca="1" si="3"/>
        <v>-3094852.1263978011</v>
      </c>
      <c r="F8" s="236">
        <f t="shared" ca="1" si="3"/>
        <v>1376055.0816526283</v>
      </c>
      <c r="G8" s="236">
        <f ca="1">SUM(G5:G7)</f>
        <v>-32680.774583333336</v>
      </c>
      <c r="H8" s="236">
        <f t="shared" ref="H8:BB8" ca="1" si="4">SUM(H5:H7)</f>
        <v>-62606.051958725264</v>
      </c>
      <c r="I8" s="236">
        <f t="shared" ca="1" si="4"/>
        <v>-62218.418037697396</v>
      </c>
      <c r="J8" s="236">
        <f t="shared" ca="1" si="4"/>
        <v>-61851.444978725442</v>
      </c>
      <c r="K8" s="236">
        <f t="shared" ca="1" si="4"/>
        <v>-61491.19122791577</v>
      </c>
      <c r="L8" s="236">
        <f t="shared" ca="1" si="4"/>
        <v>-61294.795030644163</v>
      </c>
      <c r="M8" s="236">
        <f t="shared" ca="1" si="4"/>
        <v>-72711.926677530777</v>
      </c>
      <c r="N8" s="236">
        <f t="shared" ca="1" si="4"/>
        <v>-82617.531800069788</v>
      </c>
      <c r="O8" s="236">
        <f t="shared" ca="1" si="4"/>
        <v>-79405.925157652557</v>
      </c>
      <c r="P8" s="236">
        <f t="shared" ca="1" si="4"/>
        <v>-76928.148824227101</v>
      </c>
      <c r="Q8" s="236">
        <f t="shared" ca="1" si="4"/>
        <v>-75580.678551960664</v>
      </c>
      <c r="R8" s="236">
        <f t="shared" ca="1" si="4"/>
        <v>-74755.06617729197</v>
      </c>
      <c r="S8" s="236">
        <f t="shared" ca="1" si="4"/>
        <v>-146931.55945458365</v>
      </c>
      <c r="T8" s="236">
        <f t="shared" ca="1" si="4"/>
        <v>-210990.75359088063</v>
      </c>
      <c r="U8" s="236">
        <f t="shared" ca="1" si="4"/>
        <v>-195988.22058492003</v>
      </c>
      <c r="V8" s="236">
        <f t="shared" ca="1" si="4"/>
        <v>-192531.16874099732</v>
      </c>
      <c r="W8" s="236">
        <f t="shared" ca="1" si="4"/>
        <v>-192384.01120462909</v>
      </c>
      <c r="X8" s="236">
        <f t="shared" ca="1" si="4"/>
        <v>-186708.18401583744</v>
      </c>
      <c r="Y8" s="236">
        <f t="shared" ca="1" si="4"/>
        <v>-197548.75939201179</v>
      </c>
      <c r="Z8" s="236">
        <f t="shared" ca="1" si="4"/>
        <v>-212874.31843386119</v>
      </c>
      <c r="AA8" s="236">
        <f t="shared" ca="1" si="4"/>
        <v>-211913.47889287226</v>
      </c>
      <c r="AB8" s="236">
        <f t="shared" ca="1" si="4"/>
        <v>-218141.62284303061</v>
      </c>
      <c r="AC8" s="236">
        <f t="shared" ca="1" si="4"/>
        <v>-225368.91091896381</v>
      </c>
      <c r="AD8" s="236">
        <f t="shared" ca="1" si="4"/>
        <v>-221542.63614552049</v>
      </c>
      <c r="AE8" s="236">
        <f t="shared" ca="1" si="4"/>
        <v>-265572.51197659492</v>
      </c>
      <c r="AF8" s="236">
        <f t="shared" ca="1" si="4"/>
        <v>-297677.52393769741</v>
      </c>
      <c r="AG8" s="236">
        <f t="shared" ca="1" si="4"/>
        <v>-273482.07979361131</v>
      </c>
      <c r="AH8" s="236">
        <f t="shared" ca="1" si="4"/>
        <v>-271594.25720594625</v>
      </c>
      <c r="AI8" s="236">
        <f t="shared" ca="1" si="4"/>
        <v>-273669.89759139367</v>
      </c>
      <c r="AJ8" s="236">
        <f t="shared" ca="1" si="4"/>
        <v>-261819.55894575783</v>
      </c>
      <c r="AK8" s="236">
        <f t="shared" ca="1" si="4"/>
        <v>-256530.42186189606</v>
      </c>
      <c r="AL8" s="236">
        <f t="shared" ca="1" si="4"/>
        <v>-250140.73914716893</v>
      </c>
      <c r="AM8" s="236">
        <f t="shared" ca="1" si="4"/>
        <v>-238259.38992391454</v>
      </c>
      <c r="AN8" s="236">
        <f t="shared" ca="1" si="4"/>
        <v>-240675.92645026464</v>
      </c>
      <c r="AO8" s="236">
        <f t="shared" ca="1" si="4"/>
        <v>-240481.24994864664</v>
      </c>
      <c r="AP8" s="236">
        <f t="shared" ca="1" si="4"/>
        <v>-224948.5696149093</v>
      </c>
      <c r="AQ8" s="236">
        <f t="shared" ca="1" si="4"/>
        <v>-180809.86847455191</v>
      </c>
      <c r="AR8" s="236">
        <f t="shared" ca="1" si="4"/>
        <v>-100754.6697013282</v>
      </c>
      <c r="AS8" s="236">
        <f t="shared" ca="1" si="4"/>
        <v>-30621.366806153957</v>
      </c>
      <c r="AT8" s="236">
        <f t="shared" ca="1" si="4"/>
        <v>22634.199957055764</v>
      </c>
      <c r="AU8" s="236">
        <f t="shared" ca="1" si="4"/>
        <v>76248.269755474437</v>
      </c>
      <c r="AV8" s="236">
        <f t="shared" ca="1" si="4"/>
        <v>118439.30184920684</v>
      </c>
      <c r="AW8" s="236">
        <f t="shared" ca="1" si="4"/>
        <v>155684.97951763525</v>
      </c>
      <c r="AX8" s="236">
        <f t="shared" ca="1" si="4"/>
        <v>198494.08928538547</v>
      </c>
      <c r="AY8" s="236">
        <f t="shared" ca="1" si="4"/>
        <v>234468.60318701519</v>
      </c>
      <c r="AZ8" s="236">
        <f t="shared" ca="1" si="4"/>
        <v>260342.20542365158</v>
      </c>
      <c r="BA8" s="236">
        <f t="shared" ca="1" si="4"/>
        <v>290862.21746900585</v>
      </c>
      <c r="BB8" s="236">
        <f t="shared" ca="1" si="4"/>
        <v>331067.12019023206</v>
      </c>
    </row>
    <row r="9" spans="1:54" x14ac:dyDescent="0.15"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</row>
    <row r="10" spans="1:54" ht="16" x14ac:dyDescent="0.2">
      <c r="A10" s="204" t="s">
        <v>24</v>
      </c>
      <c r="B10" s="204"/>
      <c r="C10" s="211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</row>
    <row r="11" spans="1:54" x14ac:dyDescent="0.15">
      <c r="A11" s="47" t="s">
        <v>6</v>
      </c>
      <c r="C11" s="172">
        <f t="shared" ref="C11:F12" si="5">SUMIFS($G11:$BB11,$G$2:$BB$2,C$3)</f>
        <v>0</v>
      </c>
      <c r="D11" s="171">
        <f t="shared" si="5"/>
        <v>0</v>
      </c>
      <c r="E11" s="171">
        <f t="shared" si="5"/>
        <v>0</v>
      </c>
      <c r="F11" s="171">
        <f t="shared" si="5"/>
        <v>0</v>
      </c>
      <c r="G11" s="171">
        <f>-(BS!H7-BS!G7)</f>
        <v>0</v>
      </c>
      <c r="H11" s="171">
        <f>-(BS!I7-BS!H7)</f>
        <v>0</v>
      </c>
      <c r="I11" s="171">
        <f>-(BS!J7-BS!I7)</f>
        <v>0</v>
      </c>
      <c r="J11" s="171">
        <f>-(BS!K7-BS!J7)</f>
        <v>0</v>
      </c>
      <c r="K11" s="171">
        <f>-(BS!L7-BS!K7)</f>
        <v>0</v>
      </c>
      <c r="L11" s="171">
        <f>-(BS!M7-BS!L7)</f>
        <v>0</v>
      </c>
      <c r="M11" s="171">
        <f>-(BS!N7-BS!M7)</f>
        <v>0</v>
      </c>
      <c r="N11" s="171">
        <f>-(BS!O7-BS!N7)</f>
        <v>0</v>
      </c>
      <c r="O11" s="171">
        <f>-(BS!P7-BS!O7)</f>
        <v>0</v>
      </c>
      <c r="P11" s="171">
        <f>-(BS!Q7-BS!P7)</f>
        <v>0</v>
      </c>
      <c r="Q11" s="171">
        <f>-(BS!R7-BS!Q7)</f>
        <v>0</v>
      </c>
      <c r="R11" s="171">
        <f>-(BS!S7-BS!R7)</f>
        <v>0</v>
      </c>
      <c r="S11" s="171">
        <f>-(BS!T7-BS!S7)</f>
        <v>0</v>
      </c>
      <c r="T11" s="171">
        <f>-(BS!U7-BS!T7)</f>
        <v>0</v>
      </c>
      <c r="U11" s="171">
        <f>-(BS!V7-BS!U7)</f>
        <v>0</v>
      </c>
      <c r="V11" s="171">
        <f>-(BS!W7-BS!V7)</f>
        <v>0</v>
      </c>
      <c r="W11" s="171">
        <f>-(BS!X7-BS!W7)</f>
        <v>0</v>
      </c>
      <c r="X11" s="171">
        <f>-(BS!Y7-BS!X7)</f>
        <v>0</v>
      </c>
      <c r="Y11" s="171">
        <f>-(BS!Z7-BS!Y7)</f>
        <v>0</v>
      </c>
      <c r="Z11" s="171">
        <f>-(BS!AA7-BS!Z7)</f>
        <v>0</v>
      </c>
      <c r="AA11" s="171">
        <f>-(BS!AB7-BS!AA7)</f>
        <v>0</v>
      </c>
      <c r="AB11" s="171">
        <f>-(BS!AC7-BS!AB7)</f>
        <v>0</v>
      </c>
      <c r="AC11" s="171">
        <f>-(BS!AD7-BS!AC7)</f>
        <v>0</v>
      </c>
      <c r="AD11" s="171">
        <f>-(BS!AE7-BS!AD7)</f>
        <v>0</v>
      </c>
      <c r="AE11" s="171">
        <f>-(BS!AF7-BS!AE7)</f>
        <v>0</v>
      </c>
      <c r="AF11" s="171">
        <f>-(BS!AG7-BS!AF7)</f>
        <v>0</v>
      </c>
      <c r="AG11" s="171">
        <f>-(BS!AH7-BS!AG7)</f>
        <v>0</v>
      </c>
      <c r="AH11" s="171">
        <f>-(BS!AI7-BS!AH7)</f>
        <v>0</v>
      </c>
      <c r="AI11" s="171">
        <f>-(BS!AJ7-BS!AI7)</f>
        <v>0</v>
      </c>
      <c r="AJ11" s="171">
        <f>-(BS!AK7-BS!AJ7)</f>
        <v>0</v>
      </c>
      <c r="AK11" s="171">
        <f>-(BS!AL7-BS!AK7)</f>
        <v>0</v>
      </c>
      <c r="AL11" s="171">
        <f>-(BS!AM7-BS!AL7)</f>
        <v>0</v>
      </c>
      <c r="AM11" s="171">
        <f>-(BS!AN7-BS!AM7)</f>
        <v>0</v>
      </c>
      <c r="AN11" s="171">
        <f>-(BS!AO7-BS!AN7)</f>
        <v>0</v>
      </c>
      <c r="AO11" s="171">
        <f>-(BS!AP7-BS!AO7)</f>
        <v>0</v>
      </c>
      <c r="AP11" s="171">
        <f>-(BS!AQ7-BS!AP7)</f>
        <v>0</v>
      </c>
      <c r="AQ11" s="171">
        <f>-(BS!AR7-BS!AQ7)</f>
        <v>0</v>
      </c>
      <c r="AR11" s="171">
        <f>-(BS!AS7-BS!AR7)</f>
        <v>0</v>
      </c>
      <c r="AS11" s="171">
        <f>-(BS!AT7-BS!AS7)</f>
        <v>0</v>
      </c>
      <c r="AT11" s="171">
        <f>-(BS!AU7-BS!AT7)</f>
        <v>0</v>
      </c>
      <c r="AU11" s="171">
        <f>-(BS!AV7-BS!AU7)</f>
        <v>0</v>
      </c>
      <c r="AV11" s="171">
        <f>-(BS!AW7-BS!AV7)</f>
        <v>0</v>
      </c>
      <c r="AW11" s="171">
        <f>-(BS!AX7-BS!AW7)</f>
        <v>0</v>
      </c>
      <c r="AX11" s="171">
        <f>-(BS!AY7-BS!AX7)</f>
        <v>0</v>
      </c>
      <c r="AY11" s="171">
        <f>-(BS!AZ7-BS!AY7)</f>
        <v>0</v>
      </c>
      <c r="AZ11" s="171">
        <f>-(BS!BA7-BS!AZ7)</f>
        <v>0</v>
      </c>
      <c r="BA11" s="171">
        <f>-(BS!BB7-BS!BA7)</f>
        <v>0</v>
      </c>
      <c r="BB11" s="171">
        <f>-(BS!BC7-BS!BB7)</f>
        <v>0</v>
      </c>
    </row>
    <row r="12" spans="1:54" x14ac:dyDescent="0.15">
      <c r="A12" s="59" t="s">
        <v>30</v>
      </c>
      <c r="B12" s="59"/>
      <c r="C12" s="297">
        <f t="shared" si="5"/>
        <v>0</v>
      </c>
      <c r="D12" s="236">
        <f t="shared" si="5"/>
        <v>0</v>
      </c>
      <c r="E12" s="236">
        <f t="shared" si="5"/>
        <v>0</v>
      </c>
      <c r="F12" s="236">
        <f t="shared" si="5"/>
        <v>0</v>
      </c>
      <c r="G12" s="236">
        <f>G11</f>
        <v>0</v>
      </c>
      <c r="H12" s="236">
        <f t="shared" ref="H12:BB12" si="6">H11</f>
        <v>0</v>
      </c>
      <c r="I12" s="236">
        <f t="shared" si="6"/>
        <v>0</v>
      </c>
      <c r="J12" s="236">
        <f t="shared" si="6"/>
        <v>0</v>
      </c>
      <c r="K12" s="236">
        <f t="shared" si="6"/>
        <v>0</v>
      </c>
      <c r="L12" s="236">
        <f t="shared" si="6"/>
        <v>0</v>
      </c>
      <c r="M12" s="236">
        <f t="shared" si="6"/>
        <v>0</v>
      </c>
      <c r="N12" s="236">
        <f t="shared" si="6"/>
        <v>0</v>
      </c>
      <c r="O12" s="236">
        <f t="shared" si="6"/>
        <v>0</v>
      </c>
      <c r="P12" s="236">
        <f t="shared" si="6"/>
        <v>0</v>
      </c>
      <c r="Q12" s="236">
        <f t="shared" si="6"/>
        <v>0</v>
      </c>
      <c r="R12" s="236">
        <f t="shared" si="6"/>
        <v>0</v>
      </c>
      <c r="S12" s="236">
        <f t="shared" si="6"/>
        <v>0</v>
      </c>
      <c r="T12" s="236">
        <f t="shared" si="6"/>
        <v>0</v>
      </c>
      <c r="U12" s="236">
        <f t="shared" si="6"/>
        <v>0</v>
      </c>
      <c r="V12" s="236">
        <f t="shared" si="6"/>
        <v>0</v>
      </c>
      <c r="W12" s="236">
        <f t="shared" si="6"/>
        <v>0</v>
      </c>
      <c r="X12" s="236">
        <f t="shared" si="6"/>
        <v>0</v>
      </c>
      <c r="Y12" s="236">
        <f t="shared" si="6"/>
        <v>0</v>
      </c>
      <c r="Z12" s="236">
        <f t="shared" si="6"/>
        <v>0</v>
      </c>
      <c r="AA12" s="236">
        <f t="shared" si="6"/>
        <v>0</v>
      </c>
      <c r="AB12" s="236">
        <f t="shared" si="6"/>
        <v>0</v>
      </c>
      <c r="AC12" s="236">
        <f t="shared" si="6"/>
        <v>0</v>
      </c>
      <c r="AD12" s="236">
        <f t="shared" si="6"/>
        <v>0</v>
      </c>
      <c r="AE12" s="236">
        <f t="shared" si="6"/>
        <v>0</v>
      </c>
      <c r="AF12" s="236">
        <f t="shared" si="6"/>
        <v>0</v>
      </c>
      <c r="AG12" s="236">
        <f t="shared" si="6"/>
        <v>0</v>
      </c>
      <c r="AH12" s="236">
        <f t="shared" si="6"/>
        <v>0</v>
      </c>
      <c r="AI12" s="236">
        <f t="shared" si="6"/>
        <v>0</v>
      </c>
      <c r="AJ12" s="236">
        <f t="shared" si="6"/>
        <v>0</v>
      </c>
      <c r="AK12" s="236">
        <f t="shared" si="6"/>
        <v>0</v>
      </c>
      <c r="AL12" s="236">
        <f t="shared" si="6"/>
        <v>0</v>
      </c>
      <c r="AM12" s="236">
        <f t="shared" si="6"/>
        <v>0</v>
      </c>
      <c r="AN12" s="236">
        <f t="shared" si="6"/>
        <v>0</v>
      </c>
      <c r="AO12" s="236">
        <f t="shared" si="6"/>
        <v>0</v>
      </c>
      <c r="AP12" s="236">
        <f t="shared" si="6"/>
        <v>0</v>
      </c>
      <c r="AQ12" s="236">
        <f t="shared" si="6"/>
        <v>0</v>
      </c>
      <c r="AR12" s="236">
        <f t="shared" si="6"/>
        <v>0</v>
      </c>
      <c r="AS12" s="236">
        <f t="shared" si="6"/>
        <v>0</v>
      </c>
      <c r="AT12" s="236">
        <f t="shared" si="6"/>
        <v>0</v>
      </c>
      <c r="AU12" s="236">
        <f t="shared" si="6"/>
        <v>0</v>
      </c>
      <c r="AV12" s="236">
        <f t="shared" si="6"/>
        <v>0</v>
      </c>
      <c r="AW12" s="236">
        <f t="shared" si="6"/>
        <v>0</v>
      </c>
      <c r="AX12" s="236">
        <f t="shared" si="6"/>
        <v>0</v>
      </c>
      <c r="AY12" s="236">
        <f t="shared" si="6"/>
        <v>0</v>
      </c>
      <c r="AZ12" s="236">
        <f t="shared" si="6"/>
        <v>0</v>
      </c>
      <c r="BA12" s="236">
        <f t="shared" si="6"/>
        <v>0</v>
      </c>
      <c r="BB12" s="236">
        <f t="shared" si="6"/>
        <v>0</v>
      </c>
    </row>
    <row r="13" spans="1:54" x14ac:dyDescent="0.15"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1:54" ht="16" x14ac:dyDescent="0.2">
      <c r="A14" s="204" t="s">
        <v>25</v>
      </c>
      <c r="B14" s="204"/>
      <c r="C14" s="211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</row>
    <row r="15" spans="1:54" x14ac:dyDescent="0.15">
      <c r="A15" s="47" t="s">
        <v>17</v>
      </c>
      <c r="C15" s="172">
        <f t="shared" ref="C15:F17" si="7">SUMIFS($G15:$BB15,$G$2:$BB$2,C$3)</f>
        <v>5000000</v>
      </c>
      <c r="D15" s="171">
        <f t="shared" si="7"/>
        <v>5000000</v>
      </c>
      <c r="E15" s="171">
        <f t="shared" si="7"/>
        <v>0</v>
      </c>
      <c r="F15" s="171">
        <f t="shared" si="7"/>
        <v>0</v>
      </c>
      <c r="G15" s="171">
        <f>BS!H19-BS!G19</f>
        <v>0</v>
      </c>
      <c r="H15" s="171">
        <f>BS!I19-BS!H19</f>
        <v>0</v>
      </c>
      <c r="I15" s="171">
        <f>BS!J19-BS!I19</f>
        <v>0</v>
      </c>
      <c r="J15" s="171">
        <f>BS!K19-BS!J19</f>
        <v>5000000</v>
      </c>
      <c r="K15" s="171">
        <f>BS!L19-BS!K19</f>
        <v>0</v>
      </c>
      <c r="L15" s="171">
        <f>BS!M19-BS!L19</f>
        <v>0</v>
      </c>
      <c r="M15" s="171">
        <f>BS!N19-BS!M19</f>
        <v>0</v>
      </c>
      <c r="N15" s="171">
        <f>BS!O19-BS!N19</f>
        <v>0</v>
      </c>
      <c r="O15" s="171">
        <f>BS!P19-BS!O19</f>
        <v>0</v>
      </c>
      <c r="P15" s="171">
        <f>BS!Q19-BS!P19</f>
        <v>0</v>
      </c>
      <c r="Q15" s="171">
        <f>BS!R19-BS!Q19</f>
        <v>0</v>
      </c>
      <c r="R15" s="171">
        <f>BS!S19-BS!R19</f>
        <v>0</v>
      </c>
      <c r="S15" s="171">
        <f>BS!T19-BS!S19</f>
        <v>0</v>
      </c>
      <c r="T15" s="171">
        <f>BS!U19-BS!T19</f>
        <v>0</v>
      </c>
      <c r="U15" s="171">
        <f>BS!V19-BS!U19</f>
        <v>0</v>
      </c>
      <c r="V15" s="171">
        <f>BS!W19-BS!V19</f>
        <v>0</v>
      </c>
      <c r="W15" s="171">
        <f>BS!X19-BS!W19</f>
        <v>0</v>
      </c>
      <c r="X15" s="171">
        <f>BS!Y19-BS!X19</f>
        <v>0</v>
      </c>
      <c r="Y15" s="171">
        <f>BS!Z19-BS!Y19</f>
        <v>0</v>
      </c>
      <c r="Z15" s="171">
        <f>BS!AA19-BS!Z19</f>
        <v>0</v>
      </c>
      <c r="AA15" s="171">
        <f>BS!AB19-BS!AA19</f>
        <v>5000000</v>
      </c>
      <c r="AB15" s="171">
        <f>BS!AC19-BS!AB19</f>
        <v>0</v>
      </c>
      <c r="AC15" s="171">
        <f>BS!AD19-BS!AC19</f>
        <v>0</v>
      </c>
      <c r="AD15" s="171">
        <f>BS!AE19-BS!AD19</f>
        <v>0</v>
      </c>
      <c r="AE15" s="171">
        <f>BS!AF19-BS!AE19</f>
        <v>0</v>
      </c>
      <c r="AF15" s="171">
        <f>BS!AG19-BS!AF19</f>
        <v>0</v>
      </c>
      <c r="AG15" s="171">
        <f>BS!AH19-BS!AG19</f>
        <v>0</v>
      </c>
      <c r="AH15" s="171">
        <f>BS!AI19-BS!AH19</f>
        <v>0</v>
      </c>
      <c r="AI15" s="171">
        <f>BS!AJ19-BS!AI19</f>
        <v>0</v>
      </c>
      <c r="AJ15" s="171">
        <f>BS!AK19-BS!AJ19</f>
        <v>0</v>
      </c>
      <c r="AK15" s="171">
        <f>BS!AL19-BS!AK19</f>
        <v>0</v>
      </c>
      <c r="AL15" s="171">
        <f>BS!AM19-BS!AL19</f>
        <v>0</v>
      </c>
      <c r="AM15" s="171">
        <f>BS!AN19-BS!AM19</f>
        <v>0</v>
      </c>
      <c r="AN15" s="171">
        <f>BS!AO19-BS!AN19</f>
        <v>0</v>
      </c>
      <c r="AO15" s="171">
        <f>BS!AP19-BS!AO19</f>
        <v>0</v>
      </c>
      <c r="AP15" s="171">
        <f>BS!AQ19-BS!AP19</f>
        <v>0</v>
      </c>
      <c r="AQ15" s="171">
        <f>BS!AR19-BS!AQ19</f>
        <v>0</v>
      </c>
      <c r="AR15" s="171">
        <f>BS!AS19-BS!AR19</f>
        <v>0</v>
      </c>
      <c r="AS15" s="171">
        <f>BS!AT19-BS!AS19</f>
        <v>0</v>
      </c>
      <c r="AT15" s="171">
        <f>BS!AU19-BS!AT19</f>
        <v>0</v>
      </c>
      <c r="AU15" s="171">
        <f>BS!AV19-BS!AU19</f>
        <v>0</v>
      </c>
      <c r="AV15" s="171">
        <f>BS!AW19-BS!AV19</f>
        <v>0</v>
      </c>
      <c r="AW15" s="171">
        <f>BS!AX19-BS!AW19</f>
        <v>0</v>
      </c>
      <c r="AX15" s="171">
        <f>BS!AY19-BS!AX19</f>
        <v>0</v>
      </c>
      <c r="AY15" s="171">
        <f>BS!AZ19-BS!AY19</f>
        <v>0</v>
      </c>
      <c r="AZ15" s="171">
        <f>BS!BA19-BS!AZ19</f>
        <v>0</v>
      </c>
      <c r="BA15" s="171">
        <f>BS!BB19-BS!BA19</f>
        <v>0</v>
      </c>
      <c r="BB15" s="171">
        <f>BS!BC19-BS!BB19</f>
        <v>0</v>
      </c>
    </row>
    <row r="16" spans="1:54" x14ac:dyDescent="0.15">
      <c r="A16" s="95" t="s">
        <v>223</v>
      </c>
      <c r="C16" s="172">
        <f t="shared" si="7"/>
        <v>300000</v>
      </c>
      <c r="D16" s="171">
        <f t="shared" si="7"/>
        <v>0</v>
      </c>
      <c r="E16" s="171">
        <f t="shared" si="7"/>
        <v>0</v>
      </c>
      <c r="F16" s="171">
        <f t="shared" si="7"/>
        <v>0</v>
      </c>
      <c r="G16" s="171">
        <f>BS!H14-BS!G14</f>
        <v>300000</v>
      </c>
      <c r="H16" s="171">
        <f>BS!I14-BS!H14</f>
        <v>0</v>
      </c>
      <c r="I16" s="171">
        <f>BS!J14-BS!I14</f>
        <v>0</v>
      </c>
      <c r="J16" s="171">
        <f>BS!K14-BS!J14</f>
        <v>0</v>
      </c>
      <c r="K16" s="171">
        <f>BS!L14-BS!K14</f>
        <v>0</v>
      </c>
      <c r="L16" s="171">
        <f>BS!M14-BS!L14</f>
        <v>0</v>
      </c>
      <c r="M16" s="171">
        <f>BS!N14-BS!M14</f>
        <v>0</v>
      </c>
      <c r="N16" s="171">
        <f>BS!O14-BS!N14</f>
        <v>0</v>
      </c>
      <c r="O16" s="171">
        <f>BS!P14-BS!O14</f>
        <v>0</v>
      </c>
      <c r="P16" s="171">
        <f>BS!Q14-BS!P14</f>
        <v>0</v>
      </c>
      <c r="Q16" s="171">
        <f>BS!R14-BS!Q14</f>
        <v>0</v>
      </c>
      <c r="R16" s="171">
        <f>BS!S14-BS!R14</f>
        <v>0</v>
      </c>
      <c r="S16" s="171">
        <f>BS!T14-BS!S14</f>
        <v>0</v>
      </c>
      <c r="T16" s="171">
        <f>BS!U14-BS!T14</f>
        <v>0</v>
      </c>
      <c r="U16" s="171">
        <f>BS!V14-BS!U14</f>
        <v>0</v>
      </c>
      <c r="V16" s="171">
        <f>BS!W14-BS!V14</f>
        <v>0</v>
      </c>
      <c r="W16" s="171">
        <f>BS!X14-BS!W14</f>
        <v>0</v>
      </c>
      <c r="X16" s="171">
        <f>BS!Y14-BS!X14</f>
        <v>0</v>
      </c>
      <c r="Y16" s="171">
        <f>BS!Z14-BS!Y14</f>
        <v>0</v>
      </c>
      <c r="Z16" s="171">
        <f>BS!AA14-BS!Z14</f>
        <v>0</v>
      </c>
      <c r="AA16" s="171">
        <f>BS!AB14-BS!AA14</f>
        <v>0</v>
      </c>
      <c r="AB16" s="171">
        <f>BS!AC14-BS!AB14</f>
        <v>0</v>
      </c>
      <c r="AC16" s="171">
        <f>BS!AD14-BS!AC14</f>
        <v>0</v>
      </c>
      <c r="AD16" s="171">
        <f>BS!AE14-BS!AD14</f>
        <v>0</v>
      </c>
      <c r="AE16" s="171">
        <f>BS!AF14-BS!AE14</f>
        <v>0</v>
      </c>
      <c r="AF16" s="171">
        <f>BS!AG14-BS!AF14</f>
        <v>0</v>
      </c>
      <c r="AG16" s="171">
        <f>BS!AH14-BS!AG14</f>
        <v>0</v>
      </c>
      <c r="AH16" s="171">
        <f>BS!AI14-BS!AH14</f>
        <v>0</v>
      </c>
      <c r="AI16" s="171">
        <f>BS!AJ14-BS!AI14</f>
        <v>0</v>
      </c>
      <c r="AJ16" s="171">
        <f>BS!AK14-BS!AJ14</f>
        <v>0</v>
      </c>
      <c r="AK16" s="171">
        <f>BS!AL14-BS!AK14</f>
        <v>0</v>
      </c>
      <c r="AL16" s="171">
        <f>BS!AM14-BS!AL14</f>
        <v>0</v>
      </c>
      <c r="AM16" s="171">
        <f>BS!AN14-BS!AM14</f>
        <v>0</v>
      </c>
      <c r="AN16" s="171">
        <f>BS!AO14-BS!AN14</f>
        <v>0</v>
      </c>
      <c r="AO16" s="171">
        <f>BS!AP14-BS!AO14</f>
        <v>0</v>
      </c>
      <c r="AP16" s="171">
        <f>BS!AQ14-BS!AP14</f>
        <v>0</v>
      </c>
      <c r="AQ16" s="171">
        <f>BS!AR14-BS!AQ14</f>
        <v>0</v>
      </c>
      <c r="AR16" s="171">
        <f>BS!AS14-BS!AR14</f>
        <v>0</v>
      </c>
      <c r="AS16" s="171">
        <f>BS!AT14-BS!AS14</f>
        <v>0</v>
      </c>
      <c r="AT16" s="171">
        <f>BS!AU14-BS!AT14</f>
        <v>0</v>
      </c>
      <c r="AU16" s="171">
        <f>BS!AV14-BS!AU14</f>
        <v>0</v>
      </c>
      <c r="AV16" s="171">
        <f>BS!AW14-BS!AV14</f>
        <v>0</v>
      </c>
      <c r="AW16" s="171">
        <f>BS!AX14-BS!AW14</f>
        <v>0</v>
      </c>
      <c r="AX16" s="171">
        <f>BS!AY14-BS!AX14</f>
        <v>0</v>
      </c>
      <c r="AY16" s="171">
        <f>BS!AZ14-BS!AY14</f>
        <v>0</v>
      </c>
      <c r="AZ16" s="171">
        <f>BS!BA14-BS!AZ14</f>
        <v>0</v>
      </c>
      <c r="BA16" s="171">
        <f>BS!BB14-BS!BA14</f>
        <v>0</v>
      </c>
      <c r="BB16" s="171">
        <f>BS!BC14-BS!BB14</f>
        <v>0</v>
      </c>
    </row>
    <row r="17" spans="1:54" x14ac:dyDescent="0.15">
      <c r="A17" s="59" t="s">
        <v>31</v>
      </c>
      <c r="B17" s="59"/>
      <c r="C17" s="297">
        <f t="shared" si="7"/>
        <v>5300000</v>
      </c>
      <c r="D17" s="236">
        <f t="shared" si="7"/>
        <v>5000000</v>
      </c>
      <c r="E17" s="236">
        <f t="shared" si="7"/>
        <v>0</v>
      </c>
      <c r="F17" s="236">
        <f t="shared" si="7"/>
        <v>0</v>
      </c>
      <c r="G17" s="236">
        <f>SUM(G15:G16)</f>
        <v>300000</v>
      </c>
      <c r="H17" s="236">
        <f t="shared" ref="H17:BB17" si="8">SUM(H15:H16)</f>
        <v>0</v>
      </c>
      <c r="I17" s="236">
        <f t="shared" si="8"/>
        <v>0</v>
      </c>
      <c r="J17" s="236">
        <f t="shared" si="8"/>
        <v>5000000</v>
      </c>
      <c r="K17" s="236">
        <f t="shared" si="8"/>
        <v>0</v>
      </c>
      <c r="L17" s="236">
        <f t="shared" si="8"/>
        <v>0</v>
      </c>
      <c r="M17" s="236">
        <f t="shared" si="8"/>
        <v>0</v>
      </c>
      <c r="N17" s="236">
        <f t="shared" si="8"/>
        <v>0</v>
      </c>
      <c r="O17" s="236">
        <f t="shared" si="8"/>
        <v>0</v>
      </c>
      <c r="P17" s="236">
        <f t="shared" si="8"/>
        <v>0</v>
      </c>
      <c r="Q17" s="236">
        <f t="shared" si="8"/>
        <v>0</v>
      </c>
      <c r="R17" s="236">
        <f t="shared" si="8"/>
        <v>0</v>
      </c>
      <c r="S17" s="236">
        <f t="shared" si="8"/>
        <v>0</v>
      </c>
      <c r="T17" s="236">
        <f t="shared" si="8"/>
        <v>0</v>
      </c>
      <c r="U17" s="236">
        <f t="shared" si="8"/>
        <v>0</v>
      </c>
      <c r="V17" s="236">
        <f t="shared" si="8"/>
        <v>0</v>
      </c>
      <c r="W17" s="236">
        <f t="shared" si="8"/>
        <v>0</v>
      </c>
      <c r="X17" s="236">
        <f t="shared" si="8"/>
        <v>0</v>
      </c>
      <c r="Y17" s="236">
        <f t="shared" si="8"/>
        <v>0</v>
      </c>
      <c r="Z17" s="236">
        <f t="shared" si="8"/>
        <v>0</v>
      </c>
      <c r="AA17" s="236">
        <f t="shared" si="8"/>
        <v>5000000</v>
      </c>
      <c r="AB17" s="236">
        <f t="shared" si="8"/>
        <v>0</v>
      </c>
      <c r="AC17" s="236">
        <f t="shared" si="8"/>
        <v>0</v>
      </c>
      <c r="AD17" s="236">
        <f t="shared" si="8"/>
        <v>0</v>
      </c>
      <c r="AE17" s="236">
        <f t="shared" si="8"/>
        <v>0</v>
      </c>
      <c r="AF17" s="236">
        <f t="shared" si="8"/>
        <v>0</v>
      </c>
      <c r="AG17" s="236">
        <f t="shared" si="8"/>
        <v>0</v>
      </c>
      <c r="AH17" s="236">
        <f t="shared" si="8"/>
        <v>0</v>
      </c>
      <c r="AI17" s="236">
        <f t="shared" si="8"/>
        <v>0</v>
      </c>
      <c r="AJ17" s="236">
        <f t="shared" si="8"/>
        <v>0</v>
      </c>
      <c r="AK17" s="236">
        <f t="shared" si="8"/>
        <v>0</v>
      </c>
      <c r="AL17" s="236">
        <f t="shared" si="8"/>
        <v>0</v>
      </c>
      <c r="AM17" s="236">
        <f t="shared" si="8"/>
        <v>0</v>
      </c>
      <c r="AN17" s="236">
        <f t="shared" si="8"/>
        <v>0</v>
      </c>
      <c r="AO17" s="236">
        <f t="shared" si="8"/>
        <v>0</v>
      </c>
      <c r="AP17" s="236">
        <f t="shared" si="8"/>
        <v>0</v>
      </c>
      <c r="AQ17" s="236">
        <f t="shared" si="8"/>
        <v>0</v>
      </c>
      <c r="AR17" s="236">
        <f t="shared" si="8"/>
        <v>0</v>
      </c>
      <c r="AS17" s="236">
        <f t="shared" si="8"/>
        <v>0</v>
      </c>
      <c r="AT17" s="236">
        <f t="shared" si="8"/>
        <v>0</v>
      </c>
      <c r="AU17" s="236">
        <f t="shared" si="8"/>
        <v>0</v>
      </c>
      <c r="AV17" s="236">
        <f t="shared" si="8"/>
        <v>0</v>
      </c>
      <c r="AW17" s="236">
        <f t="shared" si="8"/>
        <v>0</v>
      </c>
      <c r="AX17" s="236">
        <f t="shared" si="8"/>
        <v>0</v>
      </c>
      <c r="AY17" s="236">
        <f t="shared" si="8"/>
        <v>0</v>
      </c>
      <c r="AZ17" s="236">
        <f t="shared" si="8"/>
        <v>0</v>
      </c>
      <c r="BA17" s="236">
        <f t="shared" si="8"/>
        <v>0</v>
      </c>
      <c r="BB17" s="236">
        <f t="shared" si="8"/>
        <v>0</v>
      </c>
    </row>
    <row r="18" spans="1:54" x14ac:dyDescent="0.15"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</row>
    <row r="19" spans="1:54" x14ac:dyDescent="0.15">
      <c r="A19" s="59" t="s">
        <v>26</v>
      </c>
      <c r="B19" s="59"/>
      <c r="C19" s="297">
        <f t="shared" ref="C19:F19" ca="1" si="9">SUMIFS($G19:$BB19,$G$2:$BB$2,C$3)</f>
        <v>4495858.046994227</v>
      </c>
      <c r="D19" s="236">
        <f t="shared" ca="1" si="9"/>
        <v>2587076.3757818919</v>
      </c>
      <c r="E19" s="236">
        <f t="shared" ca="1" si="9"/>
        <v>-3094852.1263978011</v>
      </c>
      <c r="F19" s="236">
        <f t="shared" ca="1" si="9"/>
        <v>1376055.0816526283</v>
      </c>
      <c r="G19" s="236">
        <f ca="1">G8+G12+G17</f>
        <v>267319.22541666665</v>
      </c>
      <c r="H19" s="236">
        <f t="shared" ref="H19:BB19" ca="1" si="10">H8+H12+H17</f>
        <v>-62606.051958725264</v>
      </c>
      <c r="I19" s="236">
        <f t="shared" ca="1" si="10"/>
        <v>-62218.418037697396</v>
      </c>
      <c r="J19" s="236">
        <f t="shared" ca="1" si="10"/>
        <v>4938148.5550212748</v>
      </c>
      <c r="K19" s="236">
        <f t="shared" ca="1" si="10"/>
        <v>-61491.19122791577</v>
      </c>
      <c r="L19" s="236">
        <f t="shared" ca="1" si="10"/>
        <v>-61294.795030644163</v>
      </c>
      <c r="M19" s="236">
        <f t="shared" ca="1" si="10"/>
        <v>-72711.926677530777</v>
      </c>
      <c r="N19" s="236">
        <f t="shared" ca="1" si="10"/>
        <v>-82617.531800069788</v>
      </c>
      <c r="O19" s="236">
        <f t="shared" ca="1" si="10"/>
        <v>-79405.925157652557</v>
      </c>
      <c r="P19" s="236">
        <f t="shared" ca="1" si="10"/>
        <v>-76928.148824227101</v>
      </c>
      <c r="Q19" s="236">
        <f t="shared" ca="1" si="10"/>
        <v>-75580.678551960664</v>
      </c>
      <c r="R19" s="236">
        <f t="shared" ca="1" si="10"/>
        <v>-74755.06617729197</v>
      </c>
      <c r="S19" s="236">
        <f t="shared" ca="1" si="10"/>
        <v>-146931.55945458365</v>
      </c>
      <c r="T19" s="236">
        <f t="shared" ca="1" si="10"/>
        <v>-210990.75359088063</v>
      </c>
      <c r="U19" s="236">
        <f t="shared" ca="1" si="10"/>
        <v>-195988.22058492003</v>
      </c>
      <c r="V19" s="236">
        <f t="shared" ca="1" si="10"/>
        <v>-192531.16874099732</v>
      </c>
      <c r="W19" s="236">
        <f t="shared" ca="1" si="10"/>
        <v>-192384.01120462909</v>
      </c>
      <c r="X19" s="236">
        <f t="shared" ca="1" si="10"/>
        <v>-186708.18401583744</v>
      </c>
      <c r="Y19" s="236">
        <f t="shared" ca="1" si="10"/>
        <v>-197548.75939201179</v>
      </c>
      <c r="Z19" s="236">
        <f t="shared" ca="1" si="10"/>
        <v>-212874.31843386119</v>
      </c>
      <c r="AA19" s="236">
        <f t="shared" ca="1" si="10"/>
        <v>4788086.5211071279</v>
      </c>
      <c r="AB19" s="236">
        <f t="shared" ca="1" si="10"/>
        <v>-218141.62284303061</v>
      </c>
      <c r="AC19" s="236">
        <f t="shared" ca="1" si="10"/>
        <v>-225368.91091896381</v>
      </c>
      <c r="AD19" s="236">
        <f t="shared" ca="1" si="10"/>
        <v>-221542.63614552049</v>
      </c>
      <c r="AE19" s="236">
        <f t="shared" ca="1" si="10"/>
        <v>-265572.51197659492</v>
      </c>
      <c r="AF19" s="236">
        <f t="shared" ca="1" si="10"/>
        <v>-297677.52393769741</v>
      </c>
      <c r="AG19" s="236">
        <f t="shared" ca="1" si="10"/>
        <v>-273482.07979361131</v>
      </c>
      <c r="AH19" s="236">
        <f t="shared" ca="1" si="10"/>
        <v>-271594.25720594625</v>
      </c>
      <c r="AI19" s="236">
        <f t="shared" ca="1" si="10"/>
        <v>-273669.89759139367</v>
      </c>
      <c r="AJ19" s="236">
        <f t="shared" ca="1" si="10"/>
        <v>-261819.55894575783</v>
      </c>
      <c r="AK19" s="236">
        <f t="shared" ca="1" si="10"/>
        <v>-256530.42186189606</v>
      </c>
      <c r="AL19" s="236">
        <f t="shared" ca="1" si="10"/>
        <v>-250140.73914716893</v>
      </c>
      <c r="AM19" s="236">
        <f t="shared" ca="1" si="10"/>
        <v>-238259.38992391454</v>
      </c>
      <c r="AN19" s="236">
        <f t="shared" ca="1" si="10"/>
        <v>-240675.92645026464</v>
      </c>
      <c r="AO19" s="236">
        <f t="shared" ca="1" si="10"/>
        <v>-240481.24994864664</v>
      </c>
      <c r="AP19" s="236">
        <f t="shared" ca="1" si="10"/>
        <v>-224948.5696149093</v>
      </c>
      <c r="AQ19" s="236">
        <f t="shared" ca="1" si="10"/>
        <v>-180809.86847455191</v>
      </c>
      <c r="AR19" s="236">
        <f t="shared" ca="1" si="10"/>
        <v>-100754.6697013282</v>
      </c>
      <c r="AS19" s="236">
        <f t="shared" ca="1" si="10"/>
        <v>-30621.366806153957</v>
      </c>
      <c r="AT19" s="236">
        <f t="shared" ca="1" si="10"/>
        <v>22634.199957055764</v>
      </c>
      <c r="AU19" s="236">
        <f t="shared" ca="1" si="10"/>
        <v>76248.269755474437</v>
      </c>
      <c r="AV19" s="236">
        <f t="shared" ca="1" si="10"/>
        <v>118439.30184920684</v>
      </c>
      <c r="AW19" s="236">
        <f t="shared" ca="1" si="10"/>
        <v>155684.97951763525</v>
      </c>
      <c r="AX19" s="236">
        <f t="shared" ca="1" si="10"/>
        <v>198494.08928538547</v>
      </c>
      <c r="AY19" s="236">
        <f t="shared" ca="1" si="10"/>
        <v>234468.60318701519</v>
      </c>
      <c r="AZ19" s="236">
        <f t="shared" ca="1" si="10"/>
        <v>260342.20542365158</v>
      </c>
      <c r="BA19" s="236">
        <f t="shared" ca="1" si="10"/>
        <v>290862.21746900585</v>
      </c>
      <c r="BB19" s="236">
        <f t="shared" ca="1" si="10"/>
        <v>331067.12019023206</v>
      </c>
    </row>
    <row r="20" spans="1:54" x14ac:dyDescent="0.15">
      <c r="A20" s="54" t="s">
        <v>46</v>
      </c>
      <c r="G20" s="80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</row>
    <row r="21" spans="1:54" x14ac:dyDescent="0.15">
      <c r="A21" s="54" t="s">
        <v>46</v>
      </c>
      <c r="G21" s="80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</row>
    <row r="22" spans="1:54" x14ac:dyDescent="0.15">
      <c r="A22" s="54" t="s">
        <v>46</v>
      </c>
      <c r="G22" s="80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</row>
    <row r="23" spans="1:54" x14ac:dyDescent="0.15">
      <c r="A23" s="54" t="s">
        <v>46</v>
      </c>
      <c r="G23" s="80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</row>
    <row r="24" spans="1:54" x14ac:dyDescent="0.15">
      <c r="A24" s="54" t="s">
        <v>46</v>
      </c>
    </row>
    <row r="25" spans="1:54" x14ac:dyDescent="0.15">
      <c r="A25" s="54" t="s">
        <v>46</v>
      </c>
    </row>
    <row r="26" spans="1:54" x14ac:dyDescent="0.15">
      <c r="A26" s="54" t="s">
        <v>46</v>
      </c>
    </row>
    <row r="27" spans="1:54" x14ac:dyDescent="0.15">
      <c r="A27" s="54" t="s">
        <v>46</v>
      </c>
    </row>
    <row r="28" spans="1:54" x14ac:dyDescent="0.15">
      <c r="A28" s="54" t="s">
        <v>46</v>
      </c>
    </row>
    <row r="29" spans="1:54" x14ac:dyDescent="0.15">
      <c r="A29" s="54" t="s">
        <v>46</v>
      </c>
    </row>
    <row r="30" spans="1:54" x14ac:dyDescent="0.15">
      <c r="A30" s="54" t="s">
        <v>46</v>
      </c>
    </row>
    <row r="31" spans="1:54" x14ac:dyDescent="0.15">
      <c r="A31" s="54" t="s">
        <v>46</v>
      </c>
    </row>
    <row r="32" spans="1:54" x14ac:dyDescent="0.15">
      <c r="A32" s="54" t="s">
        <v>46</v>
      </c>
    </row>
    <row r="33" spans="1:1" x14ac:dyDescent="0.15">
      <c r="A33" s="54" t="s">
        <v>46</v>
      </c>
    </row>
    <row r="34" spans="1:1" x14ac:dyDescent="0.15">
      <c r="A34" s="54" t="s">
        <v>46</v>
      </c>
    </row>
    <row r="35" spans="1:1" x14ac:dyDescent="0.15">
      <c r="A35" s="54" t="s">
        <v>46</v>
      </c>
    </row>
    <row r="36" spans="1:1" x14ac:dyDescent="0.15">
      <c r="A36" s="54" t="s">
        <v>46</v>
      </c>
    </row>
    <row r="37" spans="1:1" x14ac:dyDescent="0.15">
      <c r="A37" s="54" t="s">
        <v>46</v>
      </c>
    </row>
    <row r="38" spans="1:1" x14ac:dyDescent="0.15">
      <c r="A38" s="54" t="s">
        <v>46</v>
      </c>
    </row>
    <row r="39" spans="1:1" x14ac:dyDescent="0.15">
      <c r="A39" s="54" t="s">
        <v>46</v>
      </c>
    </row>
    <row r="40" spans="1:1" x14ac:dyDescent="0.15">
      <c r="A40" s="54" t="s">
        <v>46</v>
      </c>
    </row>
    <row r="41" spans="1:1" x14ac:dyDescent="0.15">
      <c r="A41" s="54" t="s">
        <v>46</v>
      </c>
    </row>
    <row r="42" spans="1:1" x14ac:dyDescent="0.15">
      <c r="A42" s="54" t="s">
        <v>46</v>
      </c>
    </row>
    <row r="43" spans="1:1" x14ac:dyDescent="0.15">
      <c r="A43" s="54" t="s">
        <v>46</v>
      </c>
    </row>
    <row r="44" spans="1:1" x14ac:dyDescent="0.15">
      <c r="A44" s="54" t="s">
        <v>46</v>
      </c>
    </row>
    <row r="45" spans="1:1" x14ac:dyDescent="0.15">
      <c r="A45" s="54" t="s">
        <v>46</v>
      </c>
    </row>
    <row r="46" spans="1:1" x14ac:dyDescent="0.15">
      <c r="A46" s="54" t="s">
        <v>46</v>
      </c>
    </row>
    <row r="47" spans="1:1" x14ac:dyDescent="0.15">
      <c r="A47" s="54" t="s">
        <v>46</v>
      </c>
    </row>
    <row r="48" spans="1:1" x14ac:dyDescent="0.15">
      <c r="A48" s="54" t="s">
        <v>46</v>
      </c>
    </row>
    <row r="49" spans="1:1" x14ac:dyDescent="0.15">
      <c r="A49" s="54" t="s">
        <v>46</v>
      </c>
    </row>
    <row r="50" spans="1:1" x14ac:dyDescent="0.15">
      <c r="A50" s="54" t="s">
        <v>46</v>
      </c>
    </row>
    <row r="51" spans="1:1" x14ac:dyDescent="0.15">
      <c r="A51" s="54" t="s">
        <v>46</v>
      </c>
    </row>
    <row r="52" spans="1:1" x14ac:dyDescent="0.15">
      <c r="A52" s="54" t="s">
        <v>46</v>
      </c>
    </row>
    <row r="53" spans="1:1" x14ac:dyDescent="0.15">
      <c r="A53" s="54" t="s">
        <v>46</v>
      </c>
    </row>
    <row r="54" spans="1:1" x14ac:dyDescent="0.15">
      <c r="A54" s="54" t="s">
        <v>46</v>
      </c>
    </row>
    <row r="55" spans="1:1" x14ac:dyDescent="0.15">
      <c r="A55" s="54" t="s">
        <v>46</v>
      </c>
    </row>
    <row r="56" spans="1:1" x14ac:dyDescent="0.15">
      <c r="A56" s="54" t="s">
        <v>46</v>
      </c>
    </row>
    <row r="57" spans="1:1" x14ac:dyDescent="0.15">
      <c r="A57" s="54" t="s">
        <v>46</v>
      </c>
    </row>
    <row r="58" spans="1:1" x14ac:dyDescent="0.15">
      <c r="A58" s="54" t="s">
        <v>46</v>
      </c>
    </row>
    <row r="59" spans="1:1" x14ac:dyDescent="0.15">
      <c r="A59" s="54" t="s">
        <v>46</v>
      </c>
    </row>
    <row r="60" spans="1:1" x14ac:dyDescent="0.15">
      <c r="A60" s="54" t="s">
        <v>46</v>
      </c>
    </row>
    <row r="61" spans="1:1" x14ac:dyDescent="0.15">
      <c r="A61" s="54" t="s">
        <v>46</v>
      </c>
    </row>
    <row r="62" spans="1:1" x14ac:dyDescent="0.15">
      <c r="A62" s="54" t="s">
        <v>46</v>
      </c>
    </row>
    <row r="63" spans="1:1" x14ac:dyDescent="0.15">
      <c r="A63" s="54" t="s">
        <v>46</v>
      </c>
    </row>
    <row r="64" spans="1:1" x14ac:dyDescent="0.15">
      <c r="A64" s="54" t="s">
        <v>46</v>
      </c>
    </row>
    <row r="65" spans="1:1" x14ac:dyDescent="0.15">
      <c r="A65" s="54" t="s">
        <v>46</v>
      </c>
    </row>
    <row r="66" spans="1:1" x14ac:dyDescent="0.15">
      <c r="A66" s="54" t="s">
        <v>46</v>
      </c>
    </row>
    <row r="67" spans="1:1" x14ac:dyDescent="0.15">
      <c r="A67" s="54" t="s">
        <v>46</v>
      </c>
    </row>
    <row r="68" spans="1:1" x14ac:dyDescent="0.15">
      <c r="A68" s="54" t="s">
        <v>46</v>
      </c>
    </row>
    <row r="69" spans="1:1" x14ac:dyDescent="0.15">
      <c r="A69" s="54" t="s">
        <v>46</v>
      </c>
    </row>
    <row r="70" spans="1:1" x14ac:dyDescent="0.15">
      <c r="A70" s="54" t="s">
        <v>46</v>
      </c>
    </row>
    <row r="71" spans="1:1" x14ac:dyDescent="0.15">
      <c r="A71" s="54" t="s">
        <v>46</v>
      </c>
    </row>
    <row r="72" spans="1:1" x14ac:dyDescent="0.15">
      <c r="A72" s="54" t="s">
        <v>46</v>
      </c>
    </row>
    <row r="73" spans="1:1" x14ac:dyDescent="0.15">
      <c r="A73" s="54" t="s">
        <v>46</v>
      </c>
    </row>
    <row r="74" spans="1:1" x14ac:dyDescent="0.15">
      <c r="A74" s="54" t="s">
        <v>46</v>
      </c>
    </row>
    <row r="75" spans="1:1" x14ac:dyDescent="0.15">
      <c r="A75" s="54" t="s">
        <v>46</v>
      </c>
    </row>
    <row r="76" spans="1:1" x14ac:dyDescent="0.15">
      <c r="A76" s="54" t="s">
        <v>46</v>
      </c>
    </row>
    <row r="77" spans="1:1" x14ac:dyDescent="0.15">
      <c r="A77" s="54" t="s">
        <v>46</v>
      </c>
    </row>
    <row r="78" spans="1:1" x14ac:dyDescent="0.15">
      <c r="A78" s="54" t="s">
        <v>46</v>
      </c>
    </row>
    <row r="79" spans="1:1" x14ac:dyDescent="0.15">
      <c r="A79" s="54" t="s">
        <v>46</v>
      </c>
    </row>
    <row r="80" spans="1:1" x14ac:dyDescent="0.15">
      <c r="A80" s="54" t="s">
        <v>46</v>
      </c>
    </row>
    <row r="81" spans="1:1" x14ac:dyDescent="0.15">
      <c r="A81" s="54" t="s">
        <v>46</v>
      </c>
    </row>
    <row r="82" spans="1:1" x14ac:dyDescent="0.15">
      <c r="A82" s="54" t="s">
        <v>46</v>
      </c>
    </row>
    <row r="83" spans="1:1" x14ac:dyDescent="0.15">
      <c r="A83" s="54" t="s">
        <v>46</v>
      </c>
    </row>
    <row r="84" spans="1:1" x14ac:dyDescent="0.15">
      <c r="A84" s="54" t="s">
        <v>46</v>
      </c>
    </row>
    <row r="85" spans="1:1" x14ac:dyDescent="0.15">
      <c r="A85" s="54" t="s">
        <v>46</v>
      </c>
    </row>
    <row r="86" spans="1:1" x14ac:dyDescent="0.15">
      <c r="A86" s="54" t="s">
        <v>46</v>
      </c>
    </row>
    <row r="87" spans="1:1" x14ac:dyDescent="0.15">
      <c r="A87" s="54" t="s">
        <v>46</v>
      </c>
    </row>
    <row r="88" spans="1:1" x14ac:dyDescent="0.15">
      <c r="A88" s="54" t="s">
        <v>46</v>
      </c>
    </row>
    <row r="89" spans="1:1" x14ac:dyDescent="0.15">
      <c r="A89" s="54" t="s">
        <v>46</v>
      </c>
    </row>
    <row r="90" spans="1:1" x14ac:dyDescent="0.15">
      <c r="A90" s="54" t="s">
        <v>46</v>
      </c>
    </row>
    <row r="91" spans="1:1" x14ac:dyDescent="0.15">
      <c r="A91" s="54" t="s">
        <v>46</v>
      </c>
    </row>
    <row r="92" spans="1:1" x14ac:dyDescent="0.15">
      <c r="A92" s="54" t="s">
        <v>46</v>
      </c>
    </row>
    <row r="93" spans="1:1" x14ac:dyDescent="0.15">
      <c r="A93" s="54" t="s">
        <v>46</v>
      </c>
    </row>
    <row r="94" spans="1:1" x14ac:dyDescent="0.15">
      <c r="A94" s="54" t="s">
        <v>46</v>
      </c>
    </row>
    <row r="95" spans="1:1" x14ac:dyDescent="0.15">
      <c r="A95" s="54" t="s">
        <v>46</v>
      </c>
    </row>
    <row r="96" spans="1:1" x14ac:dyDescent="0.15">
      <c r="A96" s="54" t="s">
        <v>46</v>
      </c>
    </row>
  </sheetData>
  <pageMargins left="0.7" right="0.7" top="0.75" bottom="0.75" header="0.3" footer="0.3"/>
  <pageSetup scale="65" fitToWidth="0" fitToHeight="0"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rgb="FFFFFF00"/>
  </sheetPr>
  <dimension ref="A1:BS85"/>
  <sheetViews>
    <sheetView workbookViewId="0">
      <pane xSplit="6" ySplit="3" topLeftCell="G4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baseColWidth="10" defaultColWidth="8.83203125" defaultRowHeight="13" x14ac:dyDescent="0.15"/>
  <cols>
    <col min="1" max="1" width="39.5" style="54" customWidth="1"/>
    <col min="2" max="2" width="12.1640625" style="254" customWidth="1"/>
    <col min="3" max="6" width="14.1640625" style="54" customWidth="1"/>
    <col min="7" max="7" width="13.5" style="54" customWidth="1"/>
    <col min="8" max="54" width="13.5" style="52" customWidth="1"/>
    <col min="55" max="16384" width="8.83203125" style="52"/>
  </cols>
  <sheetData>
    <row r="1" spans="1:54" s="32" customFormat="1" ht="18" x14ac:dyDescent="0.2">
      <c r="A1" s="138" t="str">
        <f>+Main!A1</f>
        <v>BobCo</v>
      </c>
      <c r="B1" s="238"/>
      <c r="C1" s="227" t="s">
        <v>48</v>
      </c>
      <c r="D1" s="29"/>
      <c r="E1" s="29"/>
      <c r="F1" s="29"/>
      <c r="G1" s="30" t="s">
        <v>56</v>
      </c>
      <c r="H1" s="31"/>
      <c r="I1" s="31"/>
      <c r="J1" s="31"/>
      <c r="K1" s="30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ht="16" x14ac:dyDescent="0.2">
      <c r="A2" s="332" t="s">
        <v>228</v>
      </c>
      <c r="B2" s="239"/>
      <c r="D2" s="33"/>
      <c r="E2" s="33"/>
      <c r="F2" s="33"/>
      <c r="G2" s="34">
        <f t="shared" ref="G2:BB2" si="0">YEAR(G3)</f>
        <v>2019</v>
      </c>
      <c r="H2" s="35">
        <f t="shared" si="0"/>
        <v>2019</v>
      </c>
      <c r="I2" s="35">
        <f t="shared" si="0"/>
        <v>2019</v>
      </c>
      <c r="J2" s="35">
        <f t="shared" si="0"/>
        <v>2019</v>
      </c>
      <c r="K2" s="35">
        <f t="shared" si="0"/>
        <v>2019</v>
      </c>
      <c r="L2" s="35">
        <f t="shared" si="0"/>
        <v>2019</v>
      </c>
      <c r="M2" s="35">
        <f t="shared" si="0"/>
        <v>2019</v>
      </c>
      <c r="N2" s="35">
        <f t="shared" si="0"/>
        <v>2019</v>
      </c>
      <c r="O2" s="35">
        <f t="shared" si="0"/>
        <v>2019</v>
      </c>
      <c r="P2" s="35">
        <f t="shared" si="0"/>
        <v>2019</v>
      </c>
      <c r="Q2" s="35">
        <f t="shared" si="0"/>
        <v>2019</v>
      </c>
      <c r="R2" s="35">
        <f t="shared" si="0"/>
        <v>2019</v>
      </c>
      <c r="S2" s="35">
        <f t="shared" si="0"/>
        <v>2020</v>
      </c>
      <c r="T2" s="35">
        <f t="shared" si="0"/>
        <v>2020</v>
      </c>
      <c r="U2" s="35">
        <f t="shared" si="0"/>
        <v>2020</v>
      </c>
      <c r="V2" s="35">
        <f t="shared" si="0"/>
        <v>2020</v>
      </c>
      <c r="W2" s="35">
        <f t="shared" si="0"/>
        <v>2020</v>
      </c>
      <c r="X2" s="35">
        <f t="shared" si="0"/>
        <v>2020</v>
      </c>
      <c r="Y2" s="35">
        <f t="shared" si="0"/>
        <v>2020</v>
      </c>
      <c r="Z2" s="35">
        <f t="shared" si="0"/>
        <v>2020</v>
      </c>
      <c r="AA2" s="35">
        <f t="shared" si="0"/>
        <v>2020</v>
      </c>
      <c r="AB2" s="35">
        <f t="shared" si="0"/>
        <v>2020</v>
      </c>
      <c r="AC2" s="35">
        <f t="shared" si="0"/>
        <v>2020</v>
      </c>
      <c r="AD2" s="35">
        <f t="shared" si="0"/>
        <v>2020</v>
      </c>
      <c r="AE2" s="35">
        <f t="shared" si="0"/>
        <v>2021</v>
      </c>
      <c r="AF2" s="35">
        <f t="shared" si="0"/>
        <v>2021</v>
      </c>
      <c r="AG2" s="35">
        <f t="shared" si="0"/>
        <v>2021</v>
      </c>
      <c r="AH2" s="35">
        <f t="shared" si="0"/>
        <v>2021</v>
      </c>
      <c r="AI2" s="35">
        <f t="shared" si="0"/>
        <v>2021</v>
      </c>
      <c r="AJ2" s="35">
        <f t="shared" si="0"/>
        <v>2021</v>
      </c>
      <c r="AK2" s="35">
        <f t="shared" si="0"/>
        <v>2021</v>
      </c>
      <c r="AL2" s="35">
        <f t="shared" si="0"/>
        <v>2021</v>
      </c>
      <c r="AM2" s="35">
        <f t="shared" si="0"/>
        <v>2021</v>
      </c>
      <c r="AN2" s="35">
        <f t="shared" si="0"/>
        <v>2021</v>
      </c>
      <c r="AO2" s="35">
        <f t="shared" si="0"/>
        <v>2021</v>
      </c>
      <c r="AP2" s="35">
        <f t="shared" si="0"/>
        <v>2021</v>
      </c>
      <c r="AQ2" s="35">
        <f t="shared" si="0"/>
        <v>2022</v>
      </c>
      <c r="AR2" s="35">
        <f t="shared" si="0"/>
        <v>2022</v>
      </c>
      <c r="AS2" s="35">
        <f t="shared" si="0"/>
        <v>2022</v>
      </c>
      <c r="AT2" s="35">
        <f t="shared" si="0"/>
        <v>2022</v>
      </c>
      <c r="AU2" s="35">
        <f t="shared" si="0"/>
        <v>2022</v>
      </c>
      <c r="AV2" s="35">
        <f t="shared" si="0"/>
        <v>2022</v>
      </c>
      <c r="AW2" s="35">
        <f t="shared" si="0"/>
        <v>2022</v>
      </c>
      <c r="AX2" s="35">
        <f t="shared" si="0"/>
        <v>2022</v>
      </c>
      <c r="AY2" s="35">
        <f t="shared" si="0"/>
        <v>2022</v>
      </c>
      <c r="AZ2" s="35">
        <f t="shared" si="0"/>
        <v>2022</v>
      </c>
      <c r="BA2" s="35">
        <f t="shared" si="0"/>
        <v>2022</v>
      </c>
      <c r="BB2" s="35">
        <f t="shared" si="0"/>
        <v>2022</v>
      </c>
    </row>
    <row r="3" spans="1:54" s="40" customFormat="1" x14ac:dyDescent="0.15">
      <c r="B3" s="240" t="s">
        <v>5</v>
      </c>
      <c r="C3" s="34">
        <f>YEAR(Main!$H$2)</f>
        <v>2019</v>
      </c>
      <c r="D3" s="38">
        <f>C3+1</f>
        <v>2020</v>
      </c>
      <c r="E3" s="38">
        <f t="shared" ref="E3:F3" si="1">D3+1</f>
        <v>2021</v>
      </c>
      <c r="F3" s="38">
        <f t="shared" si="1"/>
        <v>2022</v>
      </c>
      <c r="G3" s="39">
        <f>EOMONTH(Main!$H$2,0)</f>
        <v>43496</v>
      </c>
      <c r="H3" s="40">
        <f>EOMONTH(G3,1)</f>
        <v>43524</v>
      </c>
      <c r="I3" s="40">
        <f>EOMONTH(H3,1)</f>
        <v>43555</v>
      </c>
      <c r="J3" s="40">
        <f t="shared" ref="J3:BB3" si="2">EOMONTH(I3,1)</f>
        <v>43585</v>
      </c>
      <c r="K3" s="40">
        <f t="shared" si="2"/>
        <v>43616</v>
      </c>
      <c r="L3" s="40">
        <f t="shared" si="2"/>
        <v>43646</v>
      </c>
      <c r="M3" s="40">
        <f t="shared" si="2"/>
        <v>43677</v>
      </c>
      <c r="N3" s="40">
        <f t="shared" si="2"/>
        <v>43708</v>
      </c>
      <c r="O3" s="40">
        <f t="shared" si="2"/>
        <v>43738</v>
      </c>
      <c r="P3" s="40">
        <f t="shared" si="2"/>
        <v>43769</v>
      </c>
      <c r="Q3" s="40">
        <f t="shared" si="2"/>
        <v>43799</v>
      </c>
      <c r="R3" s="40">
        <f t="shared" si="2"/>
        <v>43830</v>
      </c>
      <c r="S3" s="40">
        <f t="shared" si="2"/>
        <v>43861</v>
      </c>
      <c r="T3" s="40">
        <f t="shared" si="2"/>
        <v>43890</v>
      </c>
      <c r="U3" s="40">
        <f t="shared" si="2"/>
        <v>43921</v>
      </c>
      <c r="V3" s="40">
        <f t="shared" si="2"/>
        <v>43951</v>
      </c>
      <c r="W3" s="40">
        <f t="shared" si="2"/>
        <v>43982</v>
      </c>
      <c r="X3" s="40">
        <f t="shared" si="2"/>
        <v>44012</v>
      </c>
      <c r="Y3" s="40">
        <f t="shared" si="2"/>
        <v>44043</v>
      </c>
      <c r="Z3" s="40">
        <f t="shared" si="2"/>
        <v>44074</v>
      </c>
      <c r="AA3" s="40">
        <f t="shared" si="2"/>
        <v>44104</v>
      </c>
      <c r="AB3" s="40">
        <f t="shared" si="2"/>
        <v>44135</v>
      </c>
      <c r="AC3" s="40">
        <f t="shared" si="2"/>
        <v>44165</v>
      </c>
      <c r="AD3" s="40">
        <f t="shared" si="2"/>
        <v>44196</v>
      </c>
      <c r="AE3" s="40">
        <f t="shared" si="2"/>
        <v>44227</v>
      </c>
      <c r="AF3" s="40">
        <f t="shared" si="2"/>
        <v>44255</v>
      </c>
      <c r="AG3" s="40">
        <f t="shared" si="2"/>
        <v>44286</v>
      </c>
      <c r="AH3" s="40">
        <f t="shared" si="2"/>
        <v>44316</v>
      </c>
      <c r="AI3" s="40">
        <f t="shared" si="2"/>
        <v>44347</v>
      </c>
      <c r="AJ3" s="40">
        <f t="shared" si="2"/>
        <v>44377</v>
      </c>
      <c r="AK3" s="40">
        <f t="shared" si="2"/>
        <v>44408</v>
      </c>
      <c r="AL3" s="40">
        <f t="shared" si="2"/>
        <v>44439</v>
      </c>
      <c r="AM3" s="40">
        <f t="shared" si="2"/>
        <v>44469</v>
      </c>
      <c r="AN3" s="40">
        <f t="shared" si="2"/>
        <v>44500</v>
      </c>
      <c r="AO3" s="40">
        <f t="shared" si="2"/>
        <v>44530</v>
      </c>
      <c r="AP3" s="40">
        <f t="shared" si="2"/>
        <v>44561</v>
      </c>
      <c r="AQ3" s="40">
        <f t="shared" si="2"/>
        <v>44592</v>
      </c>
      <c r="AR3" s="40">
        <f t="shared" si="2"/>
        <v>44620</v>
      </c>
      <c r="AS3" s="40">
        <f t="shared" si="2"/>
        <v>44651</v>
      </c>
      <c r="AT3" s="40">
        <f t="shared" si="2"/>
        <v>44681</v>
      </c>
      <c r="AU3" s="40">
        <f t="shared" si="2"/>
        <v>44712</v>
      </c>
      <c r="AV3" s="40">
        <f t="shared" si="2"/>
        <v>44742</v>
      </c>
      <c r="AW3" s="40">
        <f t="shared" si="2"/>
        <v>44773</v>
      </c>
      <c r="AX3" s="40">
        <f t="shared" si="2"/>
        <v>44804</v>
      </c>
      <c r="AY3" s="40">
        <f t="shared" si="2"/>
        <v>44834</v>
      </c>
      <c r="AZ3" s="40">
        <f t="shared" si="2"/>
        <v>44865</v>
      </c>
      <c r="BA3" s="40">
        <f t="shared" si="2"/>
        <v>44895</v>
      </c>
      <c r="BB3" s="40">
        <f t="shared" si="2"/>
        <v>44926</v>
      </c>
    </row>
    <row r="4" spans="1:54" s="192" customFormat="1" ht="16" x14ac:dyDescent="0.2">
      <c r="A4" s="192" t="s">
        <v>173</v>
      </c>
      <c r="B4" s="241"/>
      <c r="C4" s="228"/>
      <c r="D4" s="194"/>
      <c r="E4" s="194"/>
      <c r="F4" s="194"/>
    </row>
    <row r="5" spans="1:54" s="195" customFormat="1" x14ac:dyDescent="0.15">
      <c r="A5" s="195" t="s">
        <v>127</v>
      </c>
      <c r="B5" s="242"/>
      <c r="C5" s="229"/>
    </row>
    <row r="6" spans="1:54" s="170" customFormat="1" x14ac:dyDescent="0.15">
      <c r="A6" s="170" t="s">
        <v>145</v>
      </c>
      <c r="B6" s="243"/>
      <c r="C6" s="171">
        <f t="shared" ref="C6:F9" si="3">SUMIFS($G6:$BB6,$G$2:$BB$2,C$3)</f>
        <v>33000</v>
      </c>
      <c r="D6" s="171">
        <f t="shared" si="3"/>
        <v>120000</v>
      </c>
      <c r="E6" s="171">
        <f t="shared" si="3"/>
        <v>330000</v>
      </c>
      <c r="F6" s="171">
        <f t="shared" si="3"/>
        <v>600000</v>
      </c>
      <c r="G6" s="170">
        <f>VLOOKUP(G$2,Main!$B$26:$F$29,ROUNDUP(MONTH(G$3)/3,0)+1,0)</f>
        <v>0</v>
      </c>
      <c r="H6" s="170">
        <f>VLOOKUP(H$2,Main!$B$26:$F$29,ROUNDUP(MONTH(H$3)/3,0)+1,0)</f>
        <v>0</v>
      </c>
      <c r="I6" s="170">
        <f>VLOOKUP(I$2,Main!$B$26:$F$29,ROUNDUP(MONTH(I$3)/3,0)+1,0)</f>
        <v>0</v>
      </c>
      <c r="J6" s="170">
        <f>VLOOKUP(J$2,Main!$B$26:$F$29,ROUNDUP(MONTH(J$3)/3,0)+1,0)</f>
        <v>1000</v>
      </c>
      <c r="K6" s="170">
        <f>VLOOKUP(K$2,Main!$B$26:$F$29,ROUNDUP(MONTH(K$3)/3,0)+1,0)</f>
        <v>1000</v>
      </c>
      <c r="L6" s="170">
        <f>VLOOKUP(L$2,Main!$B$26:$F$29,ROUNDUP(MONTH(L$3)/3,0)+1,0)</f>
        <v>1000</v>
      </c>
      <c r="M6" s="170">
        <f>VLOOKUP(M$2,Main!$B$26:$F$29,ROUNDUP(MONTH(M$3)/3,0)+1,0)</f>
        <v>5000</v>
      </c>
      <c r="N6" s="170">
        <f>VLOOKUP(N$2,Main!$B$26:$F$29,ROUNDUP(MONTH(N$3)/3,0)+1,0)</f>
        <v>5000</v>
      </c>
      <c r="O6" s="170">
        <f>VLOOKUP(O$2,Main!$B$26:$F$29,ROUNDUP(MONTH(O$3)/3,0)+1,0)</f>
        <v>5000</v>
      </c>
      <c r="P6" s="170">
        <f>VLOOKUP(P$2,Main!$B$26:$F$29,ROUNDUP(MONTH(P$3)/3,0)+1,0)</f>
        <v>5000</v>
      </c>
      <c r="Q6" s="170">
        <f>VLOOKUP(Q$2,Main!$B$26:$F$29,ROUNDUP(MONTH(Q$3)/3,0)+1,0)</f>
        <v>5000</v>
      </c>
      <c r="R6" s="170">
        <f>VLOOKUP(R$2,Main!$B$26:$F$29,ROUNDUP(MONTH(R$3)/3,0)+1,0)</f>
        <v>5000</v>
      </c>
      <c r="S6" s="170">
        <f>VLOOKUP(S$2,Main!$B$26:$F$29,ROUNDUP(MONTH(S$3)/3,0)+1,0)</f>
        <v>10000</v>
      </c>
      <c r="T6" s="170">
        <f>VLOOKUP(T$2,Main!$B$26:$F$29,ROUNDUP(MONTH(T$3)/3,0)+1,0)</f>
        <v>10000</v>
      </c>
      <c r="U6" s="170">
        <f>VLOOKUP(U$2,Main!$B$26:$F$29,ROUNDUP(MONTH(U$3)/3,0)+1,0)</f>
        <v>10000</v>
      </c>
      <c r="V6" s="170">
        <f>VLOOKUP(V$2,Main!$B$26:$F$29,ROUNDUP(MONTH(V$3)/3,0)+1,0)</f>
        <v>10000</v>
      </c>
      <c r="W6" s="170">
        <f>VLOOKUP(W$2,Main!$B$26:$F$29,ROUNDUP(MONTH(W$3)/3,0)+1,0)</f>
        <v>10000</v>
      </c>
      <c r="X6" s="170">
        <f>VLOOKUP(X$2,Main!$B$26:$F$29,ROUNDUP(MONTH(X$3)/3,0)+1,0)</f>
        <v>10000</v>
      </c>
      <c r="Y6" s="170">
        <f>VLOOKUP(Y$2,Main!$B$26:$F$29,ROUNDUP(MONTH(Y$3)/3,0)+1,0)</f>
        <v>10000</v>
      </c>
      <c r="Z6" s="170">
        <f>VLOOKUP(Z$2,Main!$B$26:$F$29,ROUNDUP(MONTH(Z$3)/3,0)+1,0)</f>
        <v>10000</v>
      </c>
      <c r="AA6" s="170">
        <f>VLOOKUP(AA$2,Main!$B$26:$F$29,ROUNDUP(MONTH(AA$3)/3,0)+1,0)</f>
        <v>10000</v>
      </c>
      <c r="AB6" s="170">
        <f>VLOOKUP(AB$2,Main!$B$26:$F$29,ROUNDUP(MONTH(AB$3)/3,0)+1,0)</f>
        <v>10000</v>
      </c>
      <c r="AC6" s="170">
        <f>VLOOKUP(AC$2,Main!$B$26:$F$29,ROUNDUP(MONTH(AC$3)/3,0)+1,0)</f>
        <v>10000</v>
      </c>
      <c r="AD6" s="170">
        <f>VLOOKUP(AD$2,Main!$B$26:$F$29,ROUNDUP(MONTH(AD$3)/3,0)+1,0)</f>
        <v>10000</v>
      </c>
      <c r="AE6" s="170">
        <f>VLOOKUP(AE$2,Main!$B$26:$F$29,ROUNDUP(MONTH(AE$3)/3,0)+1,0)</f>
        <v>20000</v>
      </c>
      <c r="AF6" s="170">
        <f>VLOOKUP(AF$2,Main!$B$26:$F$29,ROUNDUP(MONTH(AF$3)/3,0)+1,0)</f>
        <v>20000</v>
      </c>
      <c r="AG6" s="170">
        <f>VLOOKUP(AG$2,Main!$B$26:$F$29,ROUNDUP(MONTH(AG$3)/3,0)+1,0)</f>
        <v>20000</v>
      </c>
      <c r="AH6" s="170">
        <f>VLOOKUP(AH$2,Main!$B$26:$F$29,ROUNDUP(MONTH(AH$3)/3,0)+1,0)</f>
        <v>20000</v>
      </c>
      <c r="AI6" s="170">
        <f>VLOOKUP(AI$2,Main!$B$26:$F$29,ROUNDUP(MONTH(AI$3)/3,0)+1,0)</f>
        <v>20000</v>
      </c>
      <c r="AJ6" s="170">
        <f>VLOOKUP(AJ$2,Main!$B$26:$F$29,ROUNDUP(MONTH(AJ$3)/3,0)+1,0)</f>
        <v>20000</v>
      </c>
      <c r="AK6" s="170">
        <f>VLOOKUP(AK$2,Main!$B$26:$F$29,ROUNDUP(MONTH(AK$3)/3,0)+1,0)</f>
        <v>30000</v>
      </c>
      <c r="AL6" s="170">
        <f>VLOOKUP(AL$2,Main!$B$26:$F$29,ROUNDUP(MONTH(AL$3)/3,0)+1,0)</f>
        <v>30000</v>
      </c>
      <c r="AM6" s="170">
        <f>VLOOKUP(AM$2,Main!$B$26:$F$29,ROUNDUP(MONTH(AM$3)/3,0)+1,0)</f>
        <v>30000</v>
      </c>
      <c r="AN6" s="170">
        <f>VLOOKUP(AN$2,Main!$B$26:$F$29,ROUNDUP(MONTH(AN$3)/3,0)+1,0)</f>
        <v>40000</v>
      </c>
      <c r="AO6" s="170">
        <f>VLOOKUP(AO$2,Main!$B$26:$F$29,ROUNDUP(MONTH(AO$3)/3,0)+1,0)</f>
        <v>40000</v>
      </c>
      <c r="AP6" s="170">
        <f>VLOOKUP(AP$2,Main!$B$26:$F$29,ROUNDUP(MONTH(AP$3)/3,0)+1,0)</f>
        <v>40000</v>
      </c>
      <c r="AQ6" s="170">
        <f>VLOOKUP(AQ$2,Main!$B$26:$F$29,ROUNDUP(MONTH(AQ$3)/3,0)+1,0)</f>
        <v>50000</v>
      </c>
      <c r="AR6" s="170">
        <f>VLOOKUP(AR$2,Main!$B$26:$F$29,ROUNDUP(MONTH(AR$3)/3,0)+1,0)</f>
        <v>50000</v>
      </c>
      <c r="AS6" s="170">
        <f>VLOOKUP(AS$2,Main!$B$26:$F$29,ROUNDUP(MONTH(AS$3)/3,0)+1,0)</f>
        <v>50000</v>
      </c>
      <c r="AT6" s="170">
        <f>VLOOKUP(AT$2,Main!$B$26:$F$29,ROUNDUP(MONTH(AT$3)/3,0)+1,0)</f>
        <v>50000</v>
      </c>
      <c r="AU6" s="170">
        <f>VLOOKUP(AU$2,Main!$B$26:$F$29,ROUNDUP(MONTH(AU$3)/3,0)+1,0)</f>
        <v>50000</v>
      </c>
      <c r="AV6" s="170">
        <f>VLOOKUP(AV$2,Main!$B$26:$F$29,ROUNDUP(MONTH(AV$3)/3,0)+1,0)</f>
        <v>50000</v>
      </c>
      <c r="AW6" s="170">
        <f>VLOOKUP(AW$2,Main!$B$26:$F$29,ROUNDUP(MONTH(AW$3)/3,0)+1,0)</f>
        <v>50000</v>
      </c>
      <c r="AX6" s="170">
        <f>VLOOKUP(AX$2,Main!$B$26:$F$29,ROUNDUP(MONTH(AX$3)/3,0)+1,0)</f>
        <v>50000</v>
      </c>
      <c r="AY6" s="170">
        <f>VLOOKUP(AY$2,Main!$B$26:$F$29,ROUNDUP(MONTH(AY$3)/3,0)+1,0)</f>
        <v>50000</v>
      </c>
      <c r="AZ6" s="170">
        <f>VLOOKUP(AZ$2,Main!$B$26:$F$29,ROUNDUP(MONTH(AZ$3)/3,0)+1,0)</f>
        <v>50000</v>
      </c>
      <c r="BA6" s="170">
        <f>VLOOKUP(BA$2,Main!$B$26:$F$29,ROUNDUP(MONTH(BA$3)/3,0)+1,0)</f>
        <v>50000</v>
      </c>
      <c r="BB6" s="170">
        <f>VLOOKUP(BB$2,Main!$B$26:$F$29,ROUNDUP(MONTH(BB$3)/3,0)+1,0)</f>
        <v>50000</v>
      </c>
    </row>
    <row r="7" spans="1:54" s="170" customFormat="1" x14ac:dyDescent="0.15">
      <c r="A7" s="186" t="s">
        <v>146</v>
      </c>
      <c r="B7" s="243"/>
      <c r="C7" s="171">
        <f t="shared" si="3"/>
        <v>11000000</v>
      </c>
      <c r="D7" s="171">
        <f t="shared" si="3"/>
        <v>48000000</v>
      </c>
      <c r="E7" s="171">
        <f t="shared" si="3"/>
        <v>165000000</v>
      </c>
      <c r="F7" s="171">
        <f t="shared" si="3"/>
        <v>342857142.85714293</v>
      </c>
      <c r="G7" s="170">
        <f>1000*G6/INDEX(Main!$C$22:$F$22,G$2-YEAR(Main!$H$2)+1)</f>
        <v>0</v>
      </c>
      <c r="H7" s="170">
        <f>1000*H6/INDEX(Main!$C$22:$F$22,H$2-YEAR(Main!$H$2)+1)</f>
        <v>0</v>
      </c>
      <c r="I7" s="170">
        <f>1000*I6/INDEX(Main!$C$22:$F$22,I$2-YEAR(Main!$H$2)+1)</f>
        <v>0</v>
      </c>
      <c r="J7" s="170">
        <f>1000*J6/INDEX(Main!$C$22:$F$22,J$2-YEAR(Main!$H$2)+1)</f>
        <v>333333.33333333331</v>
      </c>
      <c r="K7" s="170">
        <f>1000*K6/INDEX(Main!$C$22:$F$22,K$2-YEAR(Main!$H$2)+1)</f>
        <v>333333.33333333331</v>
      </c>
      <c r="L7" s="170">
        <f>1000*L6/INDEX(Main!$C$22:$F$22,L$2-YEAR(Main!$H$2)+1)</f>
        <v>333333.33333333331</v>
      </c>
      <c r="M7" s="170">
        <f>1000*M6/INDEX(Main!$C$22:$F$22,M$2-YEAR(Main!$H$2)+1)</f>
        <v>1666666.6666666667</v>
      </c>
      <c r="N7" s="170">
        <f>1000*N6/INDEX(Main!$C$22:$F$22,N$2-YEAR(Main!$H$2)+1)</f>
        <v>1666666.6666666667</v>
      </c>
      <c r="O7" s="170">
        <f>1000*O6/INDEX(Main!$C$22:$F$22,O$2-YEAR(Main!$H$2)+1)</f>
        <v>1666666.6666666667</v>
      </c>
      <c r="P7" s="170">
        <f>1000*P6/INDEX(Main!$C$22:$F$22,P$2-YEAR(Main!$H$2)+1)</f>
        <v>1666666.6666666667</v>
      </c>
      <c r="Q7" s="170">
        <f>1000*Q6/INDEX(Main!$C$22:$F$22,Q$2-YEAR(Main!$H$2)+1)</f>
        <v>1666666.6666666667</v>
      </c>
      <c r="R7" s="170">
        <f>1000*R6/INDEX(Main!$C$22:$F$22,R$2-YEAR(Main!$H$2)+1)</f>
        <v>1666666.6666666667</v>
      </c>
      <c r="S7" s="170">
        <f>1000*S6/INDEX(Main!$C$22:$F$22,S$2-YEAR(Main!$H$2)+1)</f>
        <v>4000000</v>
      </c>
      <c r="T7" s="170">
        <f>1000*T6/INDEX(Main!$C$22:$F$22,T$2-YEAR(Main!$H$2)+1)</f>
        <v>4000000</v>
      </c>
      <c r="U7" s="170">
        <f>1000*U6/INDEX(Main!$C$22:$F$22,U$2-YEAR(Main!$H$2)+1)</f>
        <v>4000000</v>
      </c>
      <c r="V7" s="170">
        <f>1000*V6/INDEX(Main!$C$22:$F$22,V$2-YEAR(Main!$H$2)+1)</f>
        <v>4000000</v>
      </c>
      <c r="W7" s="170">
        <f>1000*W6/INDEX(Main!$C$22:$F$22,W$2-YEAR(Main!$H$2)+1)</f>
        <v>4000000</v>
      </c>
      <c r="X7" s="170">
        <f>1000*X6/INDEX(Main!$C$22:$F$22,X$2-YEAR(Main!$H$2)+1)</f>
        <v>4000000</v>
      </c>
      <c r="Y7" s="170">
        <f>1000*Y6/INDEX(Main!$C$22:$F$22,Y$2-YEAR(Main!$H$2)+1)</f>
        <v>4000000</v>
      </c>
      <c r="Z7" s="170">
        <f>1000*Z6/INDEX(Main!$C$22:$F$22,Z$2-YEAR(Main!$H$2)+1)</f>
        <v>4000000</v>
      </c>
      <c r="AA7" s="170">
        <f>1000*AA6/INDEX(Main!$C$22:$F$22,AA$2-YEAR(Main!$H$2)+1)</f>
        <v>4000000</v>
      </c>
      <c r="AB7" s="170">
        <f>1000*AB6/INDEX(Main!$C$22:$F$22,AB$2-YEAR(Main!$H$2)+1)</f>
        <v>4000000</v>
      </c>
      <c r="AC7" s="170">
        <f>1000*AC6/INDEX(Main!$C$22:$F$22,AC$2-YEAR(Main!$H$2)+1)</f>
        <v>4000000</v>
      </c>
      <c r="AD7" s="170">
        <f>1000*AD6/INDEX(Main!$C$22:$F$22,AD$2-YEAR(Main!$H$2)+1)</f>
        <v>4000000</v>
      </c>
      <c r="AE7" s="170">
        <f>1000*AE6/INDEX(Main!$C$22:$F$22,AE$2-YEAR(Main!$H$2)+1)</f>
        <v>10000000</v>
      </c>
      <c r="AF7" s="170">
        <f>1000*AF6/INDEX(Main!$C$22:$F$22,AF$2-YEAR(Main!$H$2)+1)</f>
        <v>10000000</v>
      </c>
      <c r="AG7" s="170">
        <f>1000*AG6/INDEX(Main!$C$22:$F$22,AG$2-YEAR(Main!$H$2)+1)</f>
        <v>10000000</v>
      </c>
      <c r="AH7" s="170">
        <f>1000*AH6/INDEX(Main!$C$22:$F$22,AH$2-YEAR(Main!$H$2)+1)</f>
        <v>10000000</v>
      </c>
      <c r="AI7" s="170">
        <f>1000*AI6/INDEX(Main!$C$22:$F$22,AI$2-YEAR(Main!$H$2)+1)</f>
        <v>10000000</v>
      </c>
      <c r="AJ7" s="170">
        <f>1000*AJ6/INDEX(Main!$C$22:$F$22,AJ$2-YEAR(Main!$H$2)+1)</f>
        <v>10000000</v>
      </c>
      <c r="AK7" s="170">
        <f>1000*AK6/INDEX(Main!$C$22:$F$22,AK$2-YEAR(Main!$H$2)+1)</f>
        <v>15000000</v>
      </c>
      <c r="AL7" s="170">
        <f>1000*AL6/INDEX(Main!$C$22:$F$22,AL$2-YEAR(Main!$H$2)+1)</f>
        <v>15000000</v>
      </c>
      <c r="AM7" s="170">
        <f>1000*AM6/INDEX(Main!$C$22:$F$22,AM$2-YEAR(Main!$H$2)+1)</f>
        <v>15000000</v>
      </c>
      <c r="AN7" s="170">
        <f>1000*AN6/INDEX(Main!$C$22:$F$22,AN$2-YEAR(Main!$H$2)+1)</f>
        <v>20000000</v>
      </c>
      <c r="AO7" s="170">
        <f>1000*AO6/INDEX(Main!$C$22:$F$22,AO$2-YEAR(Main!$H$2)+1)</f>
        <v>20000000</v>
      </c>
      <c r="AP7" s="170">
        <f>1000*AP6/INDEX(Main!$C$22:$F$22,AP$2-YEAR(Main!$H$2)+1)</f>
        <v>20000000</v>
      </c>
      <c r="AQ7" s="170">
        <f>1000*AQ6/INDEX(Main!$C$22:$F$22,AQ$2-YEAR(Main!$H$2)+1)</f>
        <v>28571428.571428571</v>
      </c>
      <c r="AR7" s="170">
        <f>1000*AR6/INDEX(Main!$C$22:$F$22,AR$2-YEAR(Main!$H$2)+1)</f>
        <v>28571428.571428571</v>
      </c>
      <c r="AS7" s="170">
        <f>1000*AS6/INDEX(Main!$C$22:$F$22,AS$2-YEAR(Main!$H$2)+1)</f>
        <v>28571428.571428571</v>
      </c>
      <c r="AT7" s="170">
        <f>1000*AT6/INDEX(Main!$C$22:$F$22,AT$2-YEAR(Main!$H$2)+1)</f>
        <v>28571428.571428571</v>
      </c>
      <c r="AU7" s="170">
        <f>1000*AU6/INDEX(Main!$C$22:$F$22,AU$2-YEAR(Main!$H$2)+1)</f>
        <v>28571428.571428571</v>
      </c>
      <c r="AV7" s="170">
        <f>1000*AV6/INDEX(Main!$C$22:$F$22,AV$2-YEAR(Main!$H$2)+1)</f>
        <v>28571428.571428571</v>
      </c>
      <c r="AW7" s="170">
        <f>1000*AW6/INDEX(Main!$C$22:$F$22,AW$2-YEAR(Main!$H$2)+1)</f>
        <v>28571428.571428571</v>
      </c>
      <c r="AX7" s="170">
        <f>1000*AX6/INDEX(Main!$C$22:$F$22,AX$2-YEAR(Main!$H$2)+1)</f>
        <v>28571428.571428571</v>
      </c>
      <c r="AY7" s="170">
        <f>1000*AY6/INDEX(Main!$C$22:$F$22,AY$2-YEAR(Main!$H$2)+1)</f>
        <v>28571428.571428571</v>
      </c>
      <c r="AZ7" s="170">
        <f>1000*AZ6/INDEX(Main!$C$22:$F$22,AZ$2-YEAR(Main!$H$2)+1)</f>
        <v>28571428.571428571</v>
      </c>
      <c r="BA7" s="170">
        <f>1000*BA6/INDEX(Main!$C$22:$F$22,BA$2-YEAR(Main!$H$2)+1)</f>
        <v>28571428.571428571</v>
      </c>
      <c r="BB7" s="170">
        <f>1000*BB6/INDEX(Main!$C$22:$F$22,BB$2-YEAR(Main!$H$2)+1)</f>
        <v>28571428.571428571</v>
      </c>
    </row>
    <row r="8" spans="1:54" s="170" customFormat="1" x14ac:dyDescent="0.15">
      <c r="A8" s="186" t="s">
        <v>147</v>
      </c>
      <c r="B8" s="243"/>
      <c r="C8" s="171">
        <f t="shared" si="3"/>
        <v>11000</v>
      </c>
      <c r="D8" s="171">
        <f t="shared" si="3"/>
        <v>52800</v>
      </c>
      <c r="E8" s="171">
        <f t="shared" si="3"/>
        <v>197999.99999999997</v>
      </c>
      <c r="F8" s="171">
        <f t="shared" si="3"/>
        <v>445714.28571428574</v>
      </c>
      <c r="G8" s="170">
        <f>G7*INDEX(Main!$C$23:$F$23,G$2-YEAR(Main!$H$2)+1)</f>
        <v>0</v>
      </c>
      <c r="H8" s="170">
        <f>H7*INDEX(Main!$C$23:$F$23,H$2-YEAR(Main!$H$2)+1)</f>
        <v>0</v>
      </c>
      <c r="I8" s="170">
        <f>I7*INDEX(Main!$C$23:$F$23,I$2-YEAR(Main!$H$2)+1)</f>
        <v>0</v>
      </c>
      <c r="J8" s="170">
        <f>J7*INDEX(Main!$C$23:$F$23,J$2-YEAR(Main!$H$2)+1)</f>
        <v>333.33333333333331</v>
      </c>
      <c r="K8" s="170">
        <f>K7*INDEX(Main!$C$23:$F$23,K$2-YEAR(Main!$H$2)+1)</f>
        <v>333.33333333333331</v>
      </c>
      <c r="L8" s="170">
        <f>L7*INDEX(Main!$C$23:$F$23,L$2-YEAR(Main!$H$2)+1)</f>
        <v>333.33333333333331</v>
      </c>
      <c r="M8" s="170">
        <f>M7*INDEX(Main!$C$23:$F$23,M$2-YEAR(Main!$H$2)+1)</f>
        <v>1666.6666666666667</v>
      </c>
      <c r="N8" s="170">
        <f>N7*INDEX(Main!$C$23:$F$23,N$2-YEAR(Main!$H$2)+1)</f>
        <v>1666.6666666666667</v>
      </c>
      <c r="O8" s="170">
        <f>O7*INDEX(Main!$C$23:$F$23,O$2-YEAR(Main!$H$2)+1)</f>
        <v>1666.6666666666667</v>
      </c>
      <c r="P8" s="170">
        <f>P7*INDEX(Main!$C$23:$F$23,P$2-YEAR(Main!$H$2)+1)</f>
        <v>1666.6666666666667</v>
      </c>
      <c r="Q8" s="170">
        <f>Q7*INDEX(Main!$C$23:$F$23,Q$2-YEAR(Main!$H$2)+1)</f>
        <v>1666.6666666666667</v>
      </c>
      <c r="R8" s="170">
        <f>R7*INDEX(Main!$C$23:$F$23,R$2-YEAR(Main!$H$2)+1)</f>
        <v>1666.6666666666667</v>
      </c>
      <c r="S8" s="170">
        <f>S7*INDEX(Main!$C$23:$F$23,S$2-YEAR(Main!$H$2)+1)</f>
        <v>4400</v>
      </c>
      <c r="T8" s="170">
        <f>T7*INDEX(Main!$C$23:$F$23,T$2-YEAR(Main!$H$2)+1)</f>
        <v>4400</v>
      </c>
      <c r="U8" s="170">
        <f>U7*INDEX(Main!$C$23:$F$23,U$2-YEAR(Main!$H$2)+1)</f>
        <v>4400</v>
      </c>
      <c r="V8" s="170">
        <f>V7*INDEX(Main!$C$23:$F$23,V$2-YEAR(Main!$H$2)+1)</f>
        <v>4400</v>
      </c>
      <c r="W8" s="170">
        <f>W7*INDEX(Main!$C$23:$F$23,W$2-YEAR(Main!$H$2)+1)</f>
        <v>4400</v>
      </c>
      <c r="X8" s="170">
        <f>X7*INDEX(Main!$C$23:$F$23,X$2-YEAR(Main!$H$2)+1)</f>
        <v>4400</v>
      </c>
      <c r="Y8" s="170">
        <f>Y7*INDEX(Main!$C$23:$F$23,Y$2-YEAR(Main!$H$2)+1)</f>
        <v>4400</v>
      </c>
      <c r="Z8" s="170">
        <f>Z7*INDEX(Main!$C$23:$F$23,Z$2-YEAR(Main!$H$2)+1)</f>
        <v>4400</v>
      </c>
      <c r="AA8" s="170">
        <f>AA7*INDEX(Main!$C$23:$F$23,AA$2-YEAR(Main!$H$2)+1)</f>
        <v>4400</v>
      </c>
      <c r="AB8" s="170">
        <f>AB7*INDEX(Main!$C$23:$F$23,AB$2-YEAR(Main!$H$2)+1)</f>
        <v>4400</v>
      </c>
      <c r="AC8" s="170">
        <f>AC7*INDEX(Main!$C$23:$F$23,AC$2-YEAR(Main!$H$2)+1)</f>
        <v>4400</v>
      </c>
      <c r="AD8" s="170">
        <f>AD7*INDEX(Main!$C$23:$F$23,AD$2-YEAR(Main!$H$2)+1)</f>
        <v>4400</v>
      </c>
      <c r="AE8" s="170">
        <f>AE7*INDEX(Main!$C$23:$F$23,AE$2-YEAR(Main!$H$2)+1)</f>
        <v>11999.999999999998</v>
      </c>
      <c r="AF8" s="170">
        <f>AF7*INDEX(Main!$C$23:$F$23,AF$2-YEAR(Main!$H$2)+1)</f>
        <v>11999.999999999998</v>
      </c>
      <c r="AG8" s="170">
        <f>AG7*INDEX(Main!$C$23:$F$23,AG$2-YEAR(Main!$H$2)+1)</f>
        <v>11999.999999999998</v>
      </c>
      <c r="AH8" s="170">
        <f>AH7*INDEX(Main!$C$23:$F$23,AH$2-YEAR(Main!$H$2)+1)</f>
        <v>11999.999999999998</v>
      </c>
      <c r="AI8" s="170">
        <f>AI7*INDEX(Main!$C$23:$F$23,AI$2-YEAR(Main!$H$2)+1)</f>
        <v>11999.999999999998</v>
      </c>
      <c r="AJ8" s="170">
        <f>AJ7*INDEX(Main!$C$23:$F$23,AJ$2-YEAR(Main!$H$2)+1)</f>
        <v>11999.999999999998</v>
      </c>
      <c r="AK8" s="170">
        <f>AK7*INDEX(Main!$C$23:$F$23,AK$2-YEAR(Main!$H$2)+1)</f>
        <v>18000</v>
      </c>
      <c r="AL8" s="170">
        <f>AL7*INDEX(Main!$C$23:$F$23,AL$2-YEAR(Main!$H$2)+1)</f>
        <v>18000</v>
      </c>
      <c r="AM8" s="170">
        <f>AM7*INDEX(Main!$C$23:$F$23,AM$2-YEAR(Main!$H$2)+1)</f>
        <v>18000</v>
      </c>
      <c r="AN8" s="170">
        <f>AN7*INDEX(Main!$C$23:$F$23,AN$2-YEAR(Main!$H$2)+1)</f>
        <v>23999.999999999996</v>
      </c>
      <c r="AO8" s="170">
        <f>AO7*INDEX(Main!$C$23:$F$23,AO$2-YEAR(Main!$H$2)+1)</f>
        <v>23999.999999999996</v>
      </c>
      <c r="AP8" s="170">
        <f>AP7*INDEX(Main!$C$23:$F$23,AP$2-YEAR(Main!$H$2)+1)</f>
        <v>23999.999999999996</v>
      </c>
      <c r="AQ8" s="170">
        <f>AQ7*INDEX(Main!$C$23:$F$23,AQ$2-YEAR(Main!$H$2)+1)</f>
        <v>37142.857142857138</v>
      </c>
      <c r="AR8" s="170">
        <f>AR7*INDEX(Main!$C$23:$F$23,AR$2-YEAR(Main!$H$2)+1)</f>
        <v>37142.857142857138</v>
      </c>
      <c r="AS8" s="170">
        <f>AS7*INDEX(Main!$C$23:$F$23,AS$2-YEAR(Main!$H$2)+1)</f>
        <v>37142.857142857138</v>
      </c>
      <c r="AT8" s="170">
        <f>AT7*INDEX(Main!$C$23:$F$23,AT$2-YEAR(Main!$H$2)+1)</f>
        <v>37142.857142857138</v>
      </c>
      <c r="AU8" s="170">
        <f>AU7*INDEX(Main!$C$23:$F$23,AU$2-YEAR(Main!$H$2)+1)</f>
        <v>37142.857142857138</v>
      </c>
      <c r="AV8" s="170">
        <f>AV7*INDEX(Main!$C$23:$F$23,AV$2-YEAR(Main!$H$2)+1)</f>
        <v>37142.857142857138</v>
      </c>
      <c r="AW8" s="170">
        <f>AW7*INDEX(Main!$C$23:$F$23,AW$2-YEAR(Main!$H$2)+1)</f>
        <v>37142.857142857138</v>
      </c>
      <c r="AX8" s="170">
        <f>AX7*INDEX(Main!$C$23:$F$23,AX$2-YEAR(Main!$H$2)+1)</f>
        <v>37142.857142857138</v>
      </c>
      <c r="AY8" s="170">
        <f>AY7*INDEX(Main!$C$23:$F$23,AY$2-YEAR(Main!$H$2)+1)</f>
        <v>37142.857142857138</v>
      </c>
      <c r="AZ8" s="170">
        <f>AZ7*INDEX(Main!$C$23:$F$23,AZ$2-YEAR(Main!$H$2)+1)</f>
        <v>37142.857142857138</v>
      </c>
      <c r="BA8" s="170">
        <f>BA7*INDEX(Main!$C$23:$F$23,BA$2-YEAR(Main!$H$2)+1)</f>
        <v>37142.857142857138</v>
      </c>
      <c r="BB8" s="170">
        <f>BB7*INDEX(Main!$C$23:$F$23,BB$2-YEAR(Main!$H$2)+1)</f>
        <v>37142.857142857138</v>
      </c>
    </row>
    <row r="9" spans="1:54" s="180" customFormat="1" x14ac:dyDescent="0.15">
      <c r="A9" s="181" t="s">
        <v>148</v>
      </c>
      <c r="B9" s="244"/>
      <c r="C9" s="236">
        <f t="shared" si="3"/>
        <v>1100.0000000000002</v>
      </c>
      <c r="D9" s="236">
        <f t="shared" si="3"/>
        <v>5808</v>
      </c>
      <c r="E9" s="236">
        <f t="shared" si="3"/>
        <v>23759.999999999996</v>
      </c>
      <c r="F9" s="236">
        <f t="shared" si="3"/>
        <v>57942.857142857138</v>
      </c>
      <c r="G9" s="180">
        <f>G8*INDEX(Main!$C$24:$F$24,G$2-YEAR(Main!$H$2)+1)</f>
        <v>0</v>
      </c>
      <c r="H9" s="180">
        <f>H8*INDEX(Main!$C$24:$F$24,H$2-YEAR(Main!$H$2)+1)</f>
        <v>0</v>
      </c>
      <c r="I9" s="180">
        <f>I8*INDEX(Main!$C$24:$F$24,I$2-YEAR(Main!$H$2)+1)</f>
        <v>0</v>
      </c>
      <c r="J9" s="180">
        <f>J8*INDEX(Main!$C$24:$F$24,J$2-YEAR(Main!$H$2)+1)</f>
        <v>33.333333333333336</v>
      </c>
      <c r="K9" s="180">
        <f>K8*INDEX(Main!$C$24:$F$24,K$2-YEAR(Main!$H$2)+1)</f>
        <v>33.333333333333336</v>
      </c>
      <c r="L9" s="180">
        <f>L8*INDEX(Main!$C$24:$F$24,L$2-YEAR(Main!$H$2)+1)</f>
        <v>33.333333333333336</v>
      </c>
      <c r="M9" s="180">
        <f>M8*INDEX(Main!$C$24:$F$24,M$2-YEAR(Main!$H$2)+1)</f>
        <v>166.66666666666669</v>
      </c>
      <c r="N9" s="180">
        <f>N8*INDEX(Main!$C$24:$F$24,N$2-YEAR(Main!$H$2)+1)</f>
        <v>166.66666666666669</v>
      </c>
      <c r="O9" s="180">
        <f>O8*INDEX(Main!$C$24:$F$24,O$2-YEAR(Main!$H$2)+1)</f>
        <v>166.66666666666669</v>
      </c>
      <c r="P9" s="180">
        <f>P8*INDEX(Main!$C$24:$F$24,P$2-YEAR(Main!$H$2)+1)</f>
        <v>166.66666666666669</v>
      </c>
      <c r="Q9" s="180">
        <f>Q8*INDEX(Main!$C$24:$F$24,Q$2-YEAR(Main!$H$2)+1)</f>
        <v>166.66666666666669</v>
      </c>
      <c r="R9" s="180">
        <f>R8*INDEX(Main!$C$24:$F$24,R$2-YEAR(Main!$H$2)+1)</f>
        <v>166.66666666666669</v>
      </c>
      <c r="S9" s="180">
        <f>S8*INDEX(Main!$C$24:$F$24,S$2-YEAR(Main!$H$2)+1)</f>
        <v>484</v>
      </c>
      <c r="T9" s="180">
        <f>T8*INDEX(Main!$C$24:$F$24,T$2-YEAR(Main!$H$2)+1)</f>
        <v>484</v>
      </c>
      <c r="U9" s="180">
        <f>U8*INDEX(Main!$C$24:$F$24,U$2-YEAR(Main!$H$2)+1)</f>
        <v>484</v>
      </c>
      <c r="V9" s="180">
        <f>V8*INDEX(Main!$C$24:$F$24,V$2-YEAR(Main!$H$2)+1)</f>
        <v>484</v>
      </c>
      <c r="W9" s="180">
        <f>W8*INDEX(Main!$C$24:$F$24,W$2-YEAR(Main!$H$2)+1)</f>
        <v>484</v>
      </c>
      <c r="X9" s="180">
        <f>X8*INDEX(Main!$C$24:$F$24,X$2-YEAR(Main!$H$2)+1)</f>
        <v>484</v>
      </c>
      <c r="Y9" s="180">
        <f>Y8*INDEX(Main!$C$24:$F$24,Y$2-YEAR(Main!$H$2)+1)</f>
        <v>484</v>
      </c>
      <c r="Z9" s="180">
        <f>Z8*INDEX(Main!$C$24:$F$24,Z$2-YEAR(Main!$H$2)+1)</f>
        <v>484</v>
      </c>
      <c r="AA9" s="180">
        <f>AA8*INDEX(Main!$C$24:$F$24,AA$2-YEAR(Main!$H$2)+1)</f>
        <v>484</v>
      </c>
      <c r="AB9" s="180">
        <f>AB8*INDEX(Main!$C$24:$F$24,AB$2-YEAR(Main!$H$2)+1)</f>
        <v>484</v>
      </c>
      <c r="AC9" s="180">
        <f>AC8*INDEX(Main!$C$24:$F$24,AC$2-YEAR(Main!$H$2)+1)</f>
        <v>484</v>
      </c>
      <c r="AD9" s="180">
        <f>AD8*INDEX(Main!$C$24:$F$24,AD$2-YEAR(Main!$H$2)+1)</f>
        <v>484</v>
      </c>
      <c r="AE9" s="180">
        <f>AE8*INDEX(Main!$C$24:$F$24,AE$2-YEAR(Main!$H$2)+1)</f>
        <v>1439.9999999999998</v>
      </c>
      <c r="AF9" s="180">
        <f>AF8*INDEX(Main!$C$24:$F$24,AF$2-YEAR(Main!$H$2)+1)</f>
        <v>1439.9999999999998</v>
      </c>
      <c r="AG9" s="180">
        <f>AG8*INDEX(Main!$C$24:$F$24,AG$2-YEAR(Main!$H$2)+1)</f>
        <v>1439.9999999999998</v>
      </c>
      <c r="AH9" s="180">
        <f>AH8*INDEX(Main!$C$24:$F$24,AH$2-YEAR(Main!$H$2)+1)</f>
        <v>1439.9999999999998</v>
      </c>
      <c r="AI9" s="180">
        <f>AI8*INDEX(Main!$C$24:$F$24,AI$2-YEAR(Main!$H$2)+1)</f>
        <v>1439.9999999999998</v>
      </c>
      <c r="AJ9" s="180">
        <f>AJ8*INDEX(Main!$C$24:$F$24,AJ$2-YEAR(Main!$H$2)+1)</f>
        <v>1439.9999999999998</v>
      </c>
      <c r="AK9" s="180">
        <f>AK8*INDEX(Main!$C$24:$F$24,AK$2-YEAR(Main!$H$2)+1)</f>
        <v>2160</v>
      </c>
      <c r="AL9" s="180">
        <f>AL8*INDEX(Main!$C$24:$F$24,AL$2-YEAR(Main!$H$2)+1)</f>
        <v>2160</v>
      </c>
      <c r="AM9" s="180">
        <f>AM8*INDEX(Main!$C$24:$F$24,AM$2-YEAR(Main!$H$2)+1)</f>
        <v>2160</v>
      </c>
      <c r="AN9" s="180">
        <f>AN8*INDEX(Main!$C$24:$F$24,AN$2-YEAR(Main!$H$2)+1)</f>
        <v>2879.9999999999995</v>
      </c>
      <c r="AO9" s="180">
        <f>AO8*INDEX(Main!$C$24:$F$24,AO$2-YEAR(Main!$H$2)+1)</f>
        <v>2879.9999999999995</v>
      </c>
      <c r="AP9" s="180">
        <f>AP8*INDEX(Main!$C$24:$F$24,AP$2-YEAR(Main!$H$2)+1)</f>
        <v>2879.9999999999995</v>
      </c>
      <c r="AQ9" s="180">
        <f>AQ8*INDEX(Main!$C$24:$F$24,AQ$2-YEAR(Main!$H$2)+1)</f>
        <v>4828.5714285714284</v>
      </c>
      <c r="AR9" s="180">
        <f>AR8*INDEX(Main!$C$24:$F$24,AR$2-YEAR(Main!$H$2)+1)</f>
        <v>4828.5714285714284</v>
      </c>
      <c r="AS9" s="180">
        <f>AS8*INDEX(Main!$C$24:$F$24,AS$2-YEAR(Main!$H$2)+1)</f>
        <v>4828.5714285714284</v>
      </c>
      <c r="AT9" s="180">
        <f>AT8*INDEX(Main!$C$24:$F$24,AT$2-YEAR(Main!$H$2)+1)</f>
        <v>4828.5714285714284</v>
      </c>
      <c r="AU9" s="180">
        <f>AU8*INDEX(Main!$C$24:$F$24,AU$2-YEAR(Main!$H$2)+1)</f>
        <v>4828.5714285714284</v>
      </c>
      <c r="AV9" s="180">
        <f>AV8*INDEX(Main!$C$24:$F$24,AV$2-YEAR(Main!$H$2)+1)</f>
        <v>4828.5714285714284</v>
      </c>
      <c r="AW9" s="180">
        <f>AW8*INDEX(Main!$C$24:$F$24,AW$2-YEAR(Main!$H$2)+1)</f>
        <v>4828.5714285714284</v>
      </c>
      <c r="AX9" s="180">
        <f>AX8*INDEX(Main!$C$24:$F$24,AX$2-YEAR(Main!$H$2)+1)</f>
        <v>4828.5714285714284</v>
      </c>
      <c r="AY9" s="180">
        <f>AY8*INDEX(Main!$C$24:$F$24,AY$2-YEAR(Main!$H$2)+1)</f>
        <v>4828.5714285714284</v>
      </c>
      <c r="AZ9" s="180">
        <f>AZ8*INDEX(Main!$C$24:$F$24,AZ$2-YEAR(Main!$H$2)+1)</f>
        <v>4828.5714285714284</v>
      </c>
      <c r="BA9" s="180">
        <f>BA8*INDEX(Main!$C$24:$F$24,BA$2-YEAR(Main!$H$2)+1)</f>
        <v>4828.5714285714284</v>
      </c>
      <c r="BB9" s="180">
        <f>BB8*INDEX(Main!$C$24:$F$24,BB$2-YEAR(Main!$H$2)+1)</f>
        <v>4828.5714285714284</v>
      </c>
    </row>
    <row r="10" spans="1:54" s="203" customFormat="1" x14ac:dyDescent="0.15">
      <c r="A10" s="202" t="s">
        <v>149</v>
      </c>
      <c r="B10" s="245"/>
      <c r="C10" s="226">
        <f t="shared" ref="C10:F10" si="4">IFERROR(C6/C9,0)</f>
        <v>29.999999999999993</v>
      </c>
      <c r="D10" s="226">
        <f t="shared" si="4"/>
        <v>20.66115702479339</v>
      </c>
      <c r="E10" s="226">
        <f t="shared" si="4"/>
        <v>13.888888888888891</v>
      </c>
      <c r="F10" s="226">
        <f t="shared" si="4"/>
        <v>10.355029585798817</v>
      </c>
      <c r="G10" s="203">
        <f t="shared" ref="G10:BB10" si="5">IFERROR(G6/G9,0)</f>
        <v>0</v>
      </c>
      <c r="H10" s="203">
        <f t="shared" si="5"/>
        <v>0</v>
      </c>
      <c r="I10" s="203">
        <f t="shared" si="5"/>
        <v>0</v>
      </c>
      <c r="J10" s="203">
        <f t="shared" si="5"/>
        <v>29.999999999999996</v>
      </c>
      <c r="K10" s="203">
        <f t="shared" si="5"/>
        <v>29.999999999999996</v>
      </c>
      <c r="L10" s="203">
        <f t="shared" si="5"/>
        <v>29.999999999999996</v>
      </c>
      <c r="M10" s="203">
        <f t="shared" si="5"/>
        <v>29.999999999999996</v>
      </c>
      <c r="N10" s="203">
        <f t="shared" si="5"/>
        <v>29.999999999999996</v>
      </c>
      <c r="O10" s="203">
        <f t="shared" si="5"/>
        <v>29.999999999999996</v>
      </c>
      <c r="P10" s="203">
        <f t="shared" si="5"/>
        <v>29.999999999999996</v>
      </c>
      <c r="Q10" s="203">
        <f t="shared" si="5"/>
        <v>29.999999999999996</v>
      </c>
      <c r="R10" s="203">
        <f t="shared" si="5"/>
        <v>29.999999999999996</v>
      </c>
      <c r="S10" s="203">
        <f t="shared" si="5"/>
        <v>20.66115702479339</v>
      </c>
      <c r="T10" s="203">
        <f t="shared" si="5"/>
        <v>20.66115702479339</v>
      </c>
      <c r="U10" s="203">
        <f t="shared" si="5"/>
        <v>20.66115702479339</v>
      </c>
      <c r="V10" s="203">
        <f t="shared" si="5"/>
        <v>20.66115702479339</v>
      </c>
      <c r="W10" s="203">
        <f t="shared" si="5"/>
        <v>20.66115702479339</v>
      </c>
      <c r="X10" s="203">
        <f t="shared" si="5"/>
        <v>20.66115702479339</v>
      </c>
      <c r="Y10" s="203">
        <f t="shared" si="5"/>
        <v>20.66115702479339</v>
      </c>
      <c r="Z10" s="203">
        <f t="shared" si="5"/>
        <v>20.66115702479339</v>
      </c>
      <c r="AA10" s="203">
        <f t="shared" si="5"/>
        <v>20.66115702479339</v>
      </c>
      <c r="AB10" s="203">
        <f t="shared" si="5"/>
        <v>20.66115702479339</v>
      </c>
      <c r="AC10" s="203">
        <f t="shared" si="5"/>
        <v>20.66115702479339</v>
      </c>
      <c r="AD10" s="203">
        <f t="shared" si="5"/>
        <v>20.66115702479339</v>
      </c>
      <c r="AE10" s="203">
        <f t="shared" si="5"/>
        <v>13.888888888888891</v>
      </c>
      <c r="AF10" s="203">
        <f t="shared" si="5"/>
        <v>13.888888888888891</v>
      </c>
      <c r="AG10" s="203">
        <f t="shared" si="5"/>
        <v>13.888888888888891</v>
      </c>
      <c r="AH10" s="203">
        <f t="shared" si="5"/>
        <v>13.888888888888891</v>
      </c>
      <c r="AI10" s="203">
        <f t="shared" si="5"/>
        <v>13.888888888888891</v>
      </c>
      <c r="AJ10" s="203">
        <f t="shared" si="5"/>
        <v>13.888888888888891</v>
      </c>
      <c r="AK10" s="203">
        <f t="shared" si="5"/>
        <v>13.888888888888889</v>
      </c>
      <c r="AL10" s="203">
        <f t="shared" si="5"/>
        <v>13.888888888888889</v>
      </c>
      <c r="AM10" s="203">
        <f t="shared" si="5"/>
        <v>13.888888888888889</v>
      </c>
      <c r="AN10" s="203">
        <f t="shared" si="5"/>
        <v>13.888888888888891</v>
      </c>
      <c r="AO10" s="203">
        <f t="shared" si="5"/>
        <v>13.888888888888891</v>
      </c>
      <c r="AP10" s="203">
        <f t="shared" si="5"/>
        <v>13.888888888888891</v>
      </c>
      <c r="AQ10" s="203">
        <f t="shared" si="5"/>
        <v>10.355029585798817</v>
      </c>
      <c r="AR10" s="203">
        <f t="shared" si="5"/>
        <v>10.355029585798817</v>
      </c>
      <c r="AS10" s="203">
        <f t="shared" si="5"/>
        <v>10.355029585798817</v>
      </c>
      <c r="AT10" s="203">
        <f t="shared" si="5"/>
        <v>10.355029585798817</v>
      </c>
      <c r="AU10" s="203">
        <f t="shared" si="5"/>
        <v>10.355029585798817</v>
      </c>
      <c r="AV10" s="203">
        <f t="shared" si="5"/>
        <v>10.355029585798817</v>
      </c>
      <c r="AW10" s="203">
        <f t="shared" si="5"/>
        <v>10.355029585798817</v>
      </c>
      <c r="AX10" s="203">
        <f t="shared" si="5"/>
        <v>10.355029585798817</v>
      </c>
      <c r="AY10" s="203">
        <f t="shared" si="5"/>
        <v>10.355029585798817</v>
      </c>
      <c r="AZ10" s="203">
        <f t="shared" si="5"/>
        <v>10.355029585798817</v>
      </c>
      <c r="BA10" s="203">
        <f t="shared" si="5"/>
        <v>10.355029585798817</v>
      </c>
      <c r="BB10" s="203">
        <f t="shared" si="5"/>
        <v>10.355029585798817</v>
      </c>
    </row>
    <row r="11" spans="1:54" s="170" customFormat="1" x14ac:dyDescent="0.15">
      <c r="B11" s="243"/>
      <c r="C11" s="230"/>
    </row>
    <row r="12" spans="1:54" s="195" customFormat="1" x14ac:dyDescent="0.15">
      <c r="A12" s="195" t="s">
        <v>130</v>
      </c>
      <c r="B12" s="242"/>
      <c r="C12" s="229"/>
    </row>
    <row r="13" spans="1:54" s="170" customFormat="1" x14ac:dyDescent="0.15">
      <c r="A13" s="170" t="s">
        <v>150</v>
      </c>
      <c r="B13" s="243"/>
      <c r="C13" s="171">
        <f t="shared" ref="C13:F15" si="6">SUMIFS($G13:$BB13,$G$2:$BB$2,C$3)</f>
        <v>12000</v>
      </c>
      <c r="D13" s="171">
        <f t="shared" si="6"/>
        <v>120000</v>
      </c>
      <c r="E13" s="171">
        <f t="shared" si="6"/>
        <v>240000</v>
      </c>
      <c r="F13" s="171">
        <f t="shared" si="6"/>
        <v>600000</v>
      </c>
      <c r="G13" s="170">
        <f>INDEX(Main!$C$33:$F$33,G$2-YEAR(Main!$H$2)+1)</f>
        <v>1000</v>
      </c>
      <c r="H13" s="170">
        <f>INDEX(Main!$C$33:$F$33,H$2-YEAR(Main!$H$2)+1)</f>
        <v>1000</v>
      </c>
      <c r="I13" s="170">
        <f>INDEX(Main!$C$33:$F$33,I$2-YEAR(Main!$H$2)+1)</f>
        <v>1000</v>
      </c>
      <c r="J13" s="170">
        <f>INDEX(Main!$C$33:$F$33,J$2-YEAR(Main!$H$2)+1)</f>
        <v>1000</v>
      </c>
      <c r="K13" s="170">
        <f>INDEX(Main!$C$33:$F$33,K$2-YEAR(Main!$H$2)+1)</f>
        <v>1000</v>
      </c>
      <c r="L13" s="170">
        <f>INDEX(Main!$C$33:$F$33,L$2-YEAR(Main!$H$2)+1)</f>
        <v>1000</v>
      </c>
      <c r="M13" s="170">
        <f>INDEX(Main!$C$33:$F$33,M$2-YEAR(Main!$H$2)+1)</f>
        <v>1000</v>
      </c>
      <c r="N13" s="170">
        <f>INDEX(Main!$C$33:$F$33,N$2-YEAR(Main!$H$2)+1)</f>
        <v>1000</v>
      </c>
      <c r="O13" s="170">
        <f>INDEX(Main!$C$33:$F$33,O$2-YEAR(Main!$H$2)+1)</f>
        <v>1000</v>
      </c>
      <c r="P13" s="170">
        <f>INDEX(Main!$C$33:$F$33,P$2-YEAR(Main!$H$2)+1)</f>
        <v>1000</v>
      </c>
      <c r="Q13" s="170">
        <f>INDEX(Main!$C$33:$F$33,Q$2-YEAR(Main!$H$2)+1)</f>
        <v>1000</v>
      </c>
      <c r="R13" s="170">
        <f>INDEX(Main!$C$33:$F$33,R$2-YEAR(Main!$H$2)+1)</f>
        <v>1000</v>
      </c>
      <c r="S13" s="170">
        <f>INDEX(Main!$C$33:$F$33,S$2-YEAR(Main!$H$2)+1)</f>
        <v>10000</v>
      </c>
      <c r="T13" s="170">
        <f>INDEX(Main!$C$33:$F$33,T$2-YEAR(Main!$H$2)+1)</f>
        <v>10000</v>
      </c>
      <c r="U13" s="170">
        <f>INDEX(Main!$C$33:$F$33,U$2-YEAR(Main!$H$2)+1)</f>
        <v>10000</v>
      </c>
      <c r="V13" s="170">
        <f>INDEX(Main!$C$33:$F$33,V$2-YEAR(Main!$H$2)+1)</f>
        <v>10000</v>
      </c>
      <c r="W13" s="170">
        <f>INDEX(Main!$C$33:$F$33,W$2-YEAR(Main!$H$2)+1)</f>
        <v>10000</v>
      </c>
      <c r="X13" s="170">
        <f>INDEX(Main!$C$33:$F$33,X$2-YEAR(Main!$H$2)+1)</f>
        <v>10000</v>
      </c>
      <c r="Y13" s="170">
        <f>INDEX(Main!$C$33:$F$33,Y$2-YEAR(Main!$H$2)+1)</f>
        <v>10000</v>
      </c>
      <c r="Z13" s="170">
        <f>INDEX(Main!$C$33:$F$33,Z$2-YEAR(Main!$H$2)+1)</f>
        <v>10000</v>
      </c>
      <c r="AA13" s="170">
        <f>INDEX(Main!$C$33:$F$33,AA$2-YEAR(Main!$H$2)+1)</f>
        <v>10000</v>
      </c>
      <c r="AB13" s="170">
        <f>INDEX(Main!$C$33:$F$33,AB$2-YEAR(Main!$H$2)+1)</f>
        <v>10000</v>
      </c>
      <c r="AC13" s="170">
        <f>INDEX(Main!$C$33:$F$33,AC$2-YEAR(Main!$H$2)+1)</f>
        <v>10000</v>
      </c>
      <c r="AD13" s="170">
        <f>INDEX(Main!$C$33:$F$33,AD$2-YEAR(Main!$H$2)+1)</f>
        <v>10000</v>
      </c>
      <c r="AE13" s="170">
        <f>INDEX(Main!$C$33:$F$33,AE$2-YEAR(Main!$H$2)+1)</f>
        <v>20000</v>
      </c>
      <c r="AF13" s="170">
        <f>INDEX(Main!$C$33:$F$33,AF$2-YEAR(Main!$H$2)+1)</f>
        <v>20000</v>
      </c>
      <c r="AG13" s="170">
        <f>INDEX(Main!$C$33:$F$33,AG$2-YEAR(Main!$H$2)+1)</f>
        <v>20000</v>
      </c>
      <c r="AH13" s="170">
        <f>INDEX(Main!$C$33:$F$33,AH$2-YEAR(Main!$H$2)+1)</f>
        <v>20000</v>
      </c>
      <c r="AI13" s="170">
        <f>INDEX(Main!$C$33:$F$33,AI$2-YEAR(Main!$H$2)+1)</f>
        <v>20000</v>
      </c>
      <c r="AJ13" s="170">
        <f>INDEX(Main!$C$33:$F$33,AJ$2-YEAR(Main!$H$2)+1)</f>
        <v>20000</v>
      </c>
      <c r="AK13" s="170">
        <f>INDEX(Main!$C$33:$F$33,AK$2-YEAR(Main!$H$2)+1)</f>
        <v>20000</v>
      </c>
      <c r="AL13" s="170">
        <f>INDEX(Main!$C$33:$F$33,AL$2-YEAR(Main!$H$2)+1)</f>
        <v>20000</v>
      </c>
      <c r="AM13" s="170">
        <f>INDEX(Main!$C$33:$F$33,AM$2-YEAR(Main!$H$2)+1)</f>
        <v>20000</v>
      </c>
      <c r="AN13" s="170">
        <f>INDEX(Main!$C$33:$F$33,AN$2-YEAR(Main!$H$2)+1)</f>
        <v>20000</v>
      </c>
      <c r="AO13" s="170">
        <f>INDEX(Main!$C$33:$F$33,AO$2-YEAR(Main!$H$2)+1)</f>
        <v>20000</v>
      </c>
      <c r="AP13" s="170">
        <f>INDEX(Main!$C$33:$F$33,AP$2-YEAR(Main!$H$2)+1)</f>
        <v>20000</v>
      </c>
      <c r="AQ13" s="170">
        <f>INDEX(Main!$C$33:$F$33,AQ$2-YEAR(Main!$H$2)+1)</f>
        <v>50000</v>
      </c>
      <c r="AR13" s="170">
        <f>INDEX(Main!$C$33:$F$33,AR$2-YEAR(Main!$H$2)+1)</f>
        <v>50000</v>
      </c>
      <c r="AS13" s="170">
        <f>INDEX(Main!$C$33:$F$33,AS$2-YEAR(Main!$H$2)+1)</f>
        <v>50000</v>
      </c>
      <c r="AT13" s="170">
        <f>INDEX(Main!$C$33:$F$33,AT$2-YEAR(Main!$H$2)+1)</f>
        <v>50000</v>
      </c>
      <c r="AU13" s="170">
        <f>INDEX(Main!$C$33:$F$33,AU$2-YEAR(Main!$H$2)+1)</f>
        <v>50000</v>
      </c>
      <c r="AV13" s="170">
        <f>INDEX(Main!$C$33:$F$33,AV$2-YEAR(Main!$H$2)+1)</f>
        <v>50000</v>
      </c>
      <c r="AW13" s="170">
        <f>INDEX(Main!$C$33:$F$33,AW$2-YEAR(Main!$H$2)+1)</f>
        <v>50000</v>
      </c>
      <c r="AX13" s="170">
        <f>INDEX(Main!$C$33:$F$33,AX$2-YEAR(Main!$H$2)+1)</f>
        <v>50000</v>
      </c>
      <c r="AY13" s="170">
        <f>INDEX(Main!$C$33:$F$33,AY$2-YEAR(Main!$H$2)+1)</f>
        <v>50000</v>
      </c>
      <c r="AZ13" s="170">
        <f>INDEX(Main!$C$33:$F$33,AZ$2-YEAR(Main!$H$2)+1)</f>
        <v>50000</v>
      </c>
      <c r="BA13" s="170">
        <f>INDEX(Main!$C$33:$F$33,BA$2-YEAR(Main!$H$2)+1)</f>
        <v>50000</v>
      </c>
      <c r="BB13" s="170">
        <f>INDEX(Main!$C$33:$F$33,BB$2-YEAR(Main!$H$2)+1)</f>
        <v>50000</v>
      </c>
    </row>
    <row r="14" spans="1:54" s="170" customFormat="1" x14ac:dyDescent="0.15">
      <c r="A14" s="186" t="s">
        <v>151</v>
      </c>
      <c r="B14" s="243"/>
      <c r="C14" s="171">
        <f t="shared" si="6"/>
        <v>12000</v>
      </c>
      <c r="D14" s="171">
        <f t="shared" si="6"/>
        <v>180000</v>
      </c>
      <c r="E14" s="171">
        <f t="shared" si="6"/>
        <v>360000</v>
      </c>
      <c r="F14" s="171">
        <f t="shared" si="6"/>
        <v>900000</v>
      </c>
      <c r="G14" s="170">
        <f>INDEX(Main!$C$34:$F$34,G$2-YEAR(Main!$H$2)+1)</f>
        <v>1000</v>
      </c>
      <c r="H14" s="170">
        <f>INDEX(Main!$C$34:$F$34,H$2-YEAR(Main!$H$2)+1)</f>
        <v>1000</v>
      </c>
      <c r="I14" s="170">
        <f>INDEX(Main!$C$34:$F$34,I$2-YEAR(Main!$H$2)+1)</f>
        <v>1000</v>
      </c>
      <c r="J14" s="170">
        <f>INDEX(Main!$C$34:$F$34,J$2-YEAR(Main!$H$2)+1)</f>
        <v>1000</v>
      </c>
      <c r="K14" s="170">
        <f>INDEX(Main!$C$34:$F$34,K$2-YEAR(Main!$H$2)+1)</f>
        <v>1000</v>
      </c>
      <c r="L14" s="170">
        <f>INDEX(Main!$C$34:$F$34,L$2-YEAR(Main!$H$2)+1)</f>
        <v>1000</v>
      </c>
      <c r="M14" s="170">
        <f>INDEX(Main!$C$34:$F$34,M$2-YEAR(Main!$H$2)+1)</f>
        <v>1000</v>
      </c>
      <c r="N14" s="170">
        <f>INDEX(Main!$C$34:$F$34,N$2-YEAR(Main!$H$2)+1)</f>
        <v>1000</v>
      </c>
      <c r="O14" s="170">
        <f>INDEX(Main!$C$34:$F$34,O$2-YEAR(Main!$H$2)+1)</f>
        <v>1000</v>
      </c>
      <c r="P14" s="170">
        <f>INDEX(Main!$C$34:$F$34,P$2-YEAR(Main!$H$2)+1)</f>
        <v>1000</v>
      </c>
      <c r="Q14" s="170">
        <f>INDEX(Main!$C$34:$F$34,Q$2-YEAR(Main!$H$2)+1)</f>
        <v>1000</v>
      </c>
      <c r="R14" s="170">
        <f>INDEX(Main!$C$34:$F$34,R$2-YEAR(Main!$H$2)+1)</f>
        <v>1000</v>
      </c>
      <c r="S14" s="170">
        <f>INDEX(Main!$C$34:$F$34,S$2-YEAR(Main!$H$2)+1)</f>
        <v>15000</v>
      </c>
      <c r="T14" s="170">
        <f>INDEX(Main!$C$34:$F$34,T$2-YEAR(Main!$H$2)+1)</f>
        <v>15000</v>
      </c>
      <c r="U14" s="170">
        <f>INDEX(Main!$C$34:$F$34,U$2-YEAR(Main!$H$2)+1)</f>
        <v>15000</v>
      </c>
      <c r="V14" s="170">
        <f>INDEX(Main!$C$34:$F$34,V$2-YEAR(Main!$H$2)+1)</f>
        <v>15000</v>
      </c>
      <c r="W14" s="170">
        <f>INDEX(Main!$C$34:$F$34,W$2-YEAR(Main!$H$2)+1)</f>
        <v>15000</v>
      </c>
      <c r="X14" s="170">
        <f>INDEX(Main!$C$34:$F$34,X$2-YEAR(Main!$H$2)+1)</f>
        <v>15000</v>
      </c>
      <c r="Y14" s="170">
        <f>INDEX(Main!$C$34:$F$34,Y$2-YEAR(Main!$H$2)+1)</f>
        <v>15000</v>
      </c>
      <c r="Z14" s="170">
        <f>INDEX(Main!$C$34:$F$34,Z$2-YEAR(Main!$H$2)+1)</f>
        <v>15000</v>
      </c>
      <c r="AA14" s="170">
        <f>INDEX(Main!$C$34:$F$34,AA$2-YEAR(Main!$H$2)+1)</f>
        <v>15000</v>
      </c>
      <c r="AB14" s="170">
        <f>INDEX(Main!$C$34:$F$34,AB$2-YEAR(Main!$H$2)+1)</f>
        <v>15000</v>
      </c>
      <c r="AC14" s="170">
        <f>INDEX(Main!$C$34:$F$34,AC$2-YEAR(Main!$H$2)+1)</f>
        <v>15000</v>
      </c>
      <c r="AD14" s="170">
        <f>INDEX(Main!$C$34:$F$34,AD$2-YEAR(Main!$H$2)+1)</f>
        <v>15000</v>
      </c>
      <c r="AE14" s="170">
        <f>INDEX(Main!$C$34:$F$34,AE$2-YEAR(Main!$H$2)+1)</f>
        <v>30000</v>
      </c>
      <c r="AF14" s="170">
        <f>INDEX(Main!$C$34:$F$34,AF$2-YEAR(Main!$H$2)+1)</f>
        <v>30000</v>
      </c>
      <c r="AG14" s="170">
        <f>INDEX(Main!$C$34:$F$34,AG$2-YEAR(Main!$H$2)+1)</f>
        <v>30000</v>
      </c>
      <c r="AH14" s="170">
        <f>INDEX(Main!$C$34:$F$34,AH$2-YEAR(Main!$H$2)+1)</f>
        <v>30000</v>
      </c>
      <c r="AI14" s="170">
        <f>INDEX(Main!$C$34:$F$34,AI$2-YEAR(Main!$H$2)+1)</f>
        <v>30000</v>
      </c>
      <c r="AJ14" s="170">
        <f>INDEX(Main!$C$34:$F$34,AJ$2-YEAR(Main!$H$2)+1)</f>
        <v>30000</v>
      </c>
      <c r="AK14" s="170">
        <f>INDEX(Main!$C$34:$F$34,AK$2-YEAR(Main!$H$2)+1)</f>
        <v>30000</v>
      </c>
      <c r="AL14" s="170">
        <f>INDEX(Main!$C$34:$F$34,AL$2-YEAR(Main!$H$2)+1)</f>
        <v>30000</v>
      </c>
      <c r="AM14" s="170">
        <f>INDEX(Main!$C$34:$F$34,AM$2-YEAR(Main!$H$2)+1)</f>
        <v>30000</v>
      </c>
      <c r="AN14" s="170">
        <f>INDEX(Main!$C$34:$F$34,AN$2-YEAR(Main!$H$2)+1)</f>
        <v>30000</v>
      </c>
      <c r="AO14" s="170">
        <f>INDEX(Main!$C$34:$F$34,AO$2-YEAR(Main!$H$2)+1)</f>
        <v>30000</v>
      </c>
      <c r="AP14" s="170">
        <f>INDEX(Main!$C$34:$F$34,AP$2-YEAR(Main!$H$2)+1)</f>
        <v>30000</v>
      </c>
      <c r="AQ14" s="170">
        <f>INDEX(Main!$C$34:$F$34,AQ$2-YEAR(Main!$H$2)+1)</f>
        <v>75000</v>
      </c>
      <c r="AR14" s="170">
        <f>INDEX(Main!$C$34:$F$34,AR$2-YEAR(Main!$H$2)+1)</f>
        <v>75000</v>
      </c>
      <c r="AS14" s="170">
        <f>INDEX(Main!$C$34:$F$34,AS$2-YEAR(Main!$H$2)+1)</f>
        <v>75000</v>
      </c>
      <c r="AT14" s="170">
        <f>INDEX(Main!$C$34:$F$34,AT$2-YEAR(Main!$H$2)+1)</f>
        <v>75000</v>
      </c>
      <c r="AU14" s="170">
        <f>INDEX(Main!$C$34:$F$34,AU$2-YEAR(Main!$H$2)+1)</f>
        <v>75000</v>
      </c>
      <c r="AV14" s="170">
        <f>INDEX(Main!$C$34:$F$34,AV$2-YEAR(Main!$H$2)+1)</f>
        <v>75000</v>
      </c>
      <c r="AW14" s="170">
        <f>INDEX(Main!$C$34:$F$34,AW$2-YEAR(Main!$H$2)+1)</f>
        <v>75000</v>
      </c>
      <c r="AX14" s="170">
        <f>INDEX(Main!$C$34:$F$34,AX$2-YEAR(Main!$H$2)+1)</f>
        <v>75000</v>
      </c>
      <c r="AY14" s="170">
        <f>INDEX(Main!$C$34:$F$34,AY$2-YEAR(Main!$H$2)+1)</f>
        <v>75000</v>
      </c>
      <c r="AZ14" s="170">
        <f>INDEX(Main!$C$34:$F$34,AZ$2-YEAR(Main!$H$2)+1)</f>
        <v>75000</v>
      </c>
      <c r="BA14" s="170">
        <f>INDEX(Main!$C$34:$F$34,BA$2-YEAR(Main!$H$2)+1)</f>
        <v>75000</v>
      </c>
      <c r="BB14" s="170">
        <f>INDEX(Main!$C$34:$F$34,BB$2-YEAR(Main!$H$2)+1)</f>
        <v>75000</v>
      </c>
    </row>
    <row r="15" spans="1:54" s="180" customFormat="1" x14ac:dyDescent="0.15">
      <c r="A15" s="181" t="s">
        <v>153</v>
      </c>
      <c r="B15" s="244"/>
      <c r="C15" s="236">
        <f t="shared" si="6"/>
        <v>1200</v>
      </c>
      <c r="D15" s="236">
        <f t="shared" si="6"/>
        <v>19800</v>
      </c>
      <c r="E15" s="236">
        <f t="shared" si="6"/>
        <v>43200</v>
      </c>
      <c r="F15" s="236">
        <f t="shared" si="6"/>
        <v>117000</v>
      </c>
      <c r="G15" s="180">
        <f>G14*INDEX(Main!$C$35:$F$35,G$2-YEAR(Main!$H$2)+1)</f>
        <v>100</v>
      </c>
      <c r="H15" s="180">
        <f>H14*INDEX(Main!$C$35:$F$35,H$2-YEAR(Main!$H$2)+1)</f>
        <v>100</v>
      </c>
      <c r="I15" s="180">
        <f>I14*INDEX(Main!$C$35:$F$35,I$2-YEAR(Main!$H$2)+1)</f>
        <v>100</v>
      </c>
      <c r="J15" s="180">
        <f>J14*INDEX(Main!$C$35:$F$35,J$2-YEAR(Main!$H$2)+1)</f>
        <v>100</v>
      </c>
      <c r="K15" s="180">
        <f>K14*INDEX(Main!$C$35:$F$35,K$2-YEAR(Main!$H$2)+1)</f>
        <v>100</v>
      </c>
      <c r="L15" s="180">
        <f>L14*INDEX(Main!$C$35:$F$35,L$2-YEAR(Main!$H$2)+1)</f>
        <v>100</v>
      </c>
      <c r="M15" s="180">
        <f>M14*INDEX(Main!$C$35:$F$35,M$2-YEAR(Main!$H$2)+1)</f>
        <v>100</v>
      </c>
      <c r="N15" s="180">
        <f>N14*INDEX(Main!$C$35:$F$35,N$2-YEAR(Main!$H$2)+1)</f>
        <v>100</v>
      </c>
      <c r="O15" s="180">
        <f>O14*INDEX(Main!$C$35:$F$35,O$2-YEAR(Main!$H$2)+1)</f>
        <v>100</v>
      </c>
      <c r="P15" s="180">
        <f>P14*INDEX(Main!$C$35:$F$35,P$2-YEAR(Main!$H$2)+1)</f>
        <v>100</v>
      </c>
      <c r="Q15" s="180">
        <f>Q14*INDEX(Main!$C$35:$F$35,Q$2-YEAR(Main!$H$2)+1)</f>
        <v>100</v>
      </c>
      <c r="R15" s="180">
        <f>R14*INDEX(Main!$C$35:$F$35,R$2-YEAR(Main!$H$2)+1)</f>
        <v>100</v>
      </c>
      <c r="S15" s="180">
        <f>S14*INDEX(Main!$C$35:$F$35,S$2-YEAR(Main!$H$2)+1)</f>
        <v>1650</v>
      </c>
      <c r="T15" s="180">
        <f>T14*INDEX(Main!$C$35:$F$35,T$2-YEAR(Main!$H$2)+1)</f>
        <v>1650</v>
      </c>
      <c r="U15" s="180">
        <f>U14*INDEX(Main!$C$35:$F$35,U$2-YEAR(Main!$H$2)+1)</f>
        <v>1650</v>
      </c>
      <c r="V15" s="180">
        <f>V14*INDEX(Main!$C$35:$F$35,V$2-YEAR(Main!$H$2)+1)</f>
        <v>1650</v>
      </c>
      <c r="W15" s="180">
        <f>W14*INDEX(Main!$C$35:$F$35,W$2-YEAR(Main!$H$2)+1)</f>
        <v>1650</v>
      </c>
      <c r="X15" s="180">
        <f>X14*INDEX(Main!$C$35:$F$35,X$2-YEAR(Main!$H$2)+1)</f>
        <v>1650</v>
      </c>
      <c r="Y15" s="180">
        <f>Y14*INDEX(Main!$C$35:$F$35,Y$2-YEAR(Main!$H$2)+1)</f>
        <v>1650</v>
      </c>
      <c r="Z15" s="180">
        <f>Z14*INDEX(Main!$C$35:$F$35,Z$2-YEAR(Main!$H$2)+1)</f>
        <v>1650</v>
      </c>
      <c r="AA15" s="180">
        <f>AA14*INDEX(Main!$C$35:$F$35,AA$2-YEAR(Main!$H$2)+1)</f>
        <v>1650</v>
      </c>
      <c r="AB15" s="180">
        <f>AB14*INDEX(Main!$C$35:$F$35,AB$2-YEAR(Main!$H$2)+1)</f>
        <v>1650</v>
      </c>
      <c r="AC15" s="180">
        <f>AC14*INDEX(Main!$C$35:$F$35,AC$2-YEAR(Main!$H$2)+1)</f>
        <v>1650</v>
      </c>
      <c r="AD15" s="180">
        <f>AD14*INDEX(Main!$C$35:$F$35,AD$2-YEAR(Main!$H$2)+1)</f>
        <v>1650</v>
      </c>
      <c r="AE15" s="180">
        <f>AE14*INDEX(Main!$C$35:$F$35,AE$2-YEAR(Main!$H$2)+1)</f>
        <v>3600</v>
      </c>
      <c r="AF15" s="180">
        <f>AF14*INDEX(Main!$C$35:$F$35,AF$2-YEAR(Main!$H$2)+1)</f>
        <v>3600</v>
      </c>
      <c r="AG15" s="180">
        <f>AG14*INDEX(Main!$C$35:$F$35,AG$2-YEAR(Main!$H$2)+1)</f>
        <v>3600</v>
      </c>
      <c r="AH15" s="180">
        <f>AH14*INDEX(Main!$C$35:$F$35,AH$2-YEAR(Main!$H$2)+1)</f>
        <v>3600</v>
      </c>
      <c r="AI15" s="180">
        <f>AI14*INDEX(Main!$C$35:$F$35,AI$2-YEAR(Main!$H$2)+1)</f>
        <v>3600</v>
      </c>
      <c r="AJ15" s="180">
        <f>AJ14*INDEX(Main!$C$35:$F$35,AJ$2-YEAR(Main!$H$2)+1)</f>
        <v>3600</v>
      </c>
      <c r="AK15" s="180">
        <f>AK14*INDEX(Main!$C$35:$F$35,AK$2-YEAR(Main!$H$2)+1)</f>
        <v>3600</v>
      </c>
      <c r="AL15" s="180">
        <f>AL14*INDEX(Main!$C$35:$F$35,AL$2-YEAR(Main!$H$2)+1)</f>
        <v>3600</v>
      </c>
      <c r="AM15" s="180">
        <f>AM14*INDEX(Main!$C$35:$F$35,AM$2-YEAR(Main!$H$2)+1)</f>
        <v>3600</v>
      </c>
      <c r="AN15" s="180">
        <f>AN14*INDEX(Main!$C$35:$F$35,AN$2-YEAR(Main!$H$2)+1)</f>
        <v>3600</v>
      </c>
      <c r="AO15" s="180">
        <f>AO14*INDEX(Main!$C$35:$F$35,AO$2-YEAR(Main!$H$2)+1)</f>
        <v>3600</v>
      </c>
      <c r="AP15" s="180">
        <f>AP14*INDEX(Main!$C$35:$F$35,AP$2-YEAR(Main!$H$2)+1)</f>
        <v>3600</v>
      </c>
      <c r="AQ15" s="180">
        <f>AQ14*INDEX(Main!$C$35:$F$35,AQ$2-YEAR(Main!$H$2)+1)</f>
        <v>9750</v>
      </c>
      <c r="AR15" s="180">
        <f>AR14*INDEX(Main!$C$35:$F$35,AR$2-YEAR(Main!$H$2)+1)</f>
        <v>9750</v>
      </c>
      <c r="AS15" s="180">
        <f>AS14*INDEX(Main!$C$35:$F$35,AS$2-YEAR(Main!$H$2)+1)</f>
        <v>9750</v>
      </c>
      <c r="AT15" s="180">
        <f>AT14*INDEX(Main!$C$35:$F$35,AT$2-YEAR(Main!$H$2)+1)</f>
        <v>9750</v>
      </c>
      <c r="AU15" s="180">
        <f>AU14*INDEX(Main!$C$35:$F$35,AU$2-YEAR(Main!$H$2)+1)</f>
        <v>9750</v>
      </c>
      <c r="AV15" s="180">
        <f>AV14*INDEX(Main!$C$35:$F$35,AV$2-YEAR(Main!$H$2)+1)</f>
        <v>9750</v>
      </c>
      <c r="AW15" s="180">
        <f>AW14*INDEX(Main!$C$35:$F$35,AW$2-YEAR(Main!$H$2)+1)</f>
        <v>9750</v>
      </c>
      <c r="AX15" s="180">
        <f>AX14*INDEX(Main!$C$35:$F$35,AX$2-YEAR(Main!$H$2)+1)</f>
        <v>9750</v>
      </c>
      <c r="AY15" s="180">
        <f>AY14*INDEX(Main!$C$35:$F$35,AY$2-YEAR(Main!$H$2)+1)</f>
        <v>9750</v>
      </c>
      <c r="AZ15" s="180">
        <f>AZ14*INDEX(Main!$C$35:$F$35,AZ$2-YEAR(Main!$H$2)+1)</f>
        <v>9750</v>
      </c>
      <c r="BA15" s="180">
        <f>BA14*INDEX(Main!$C$35:$F$35,BA$2-YEAR(Main!$H$2)+1)</f>
        <v>9750</v>
      </c>
      <c r="BB15" s="180">
        <f>BB14*INDEX(Main!$C$35:$F$35,BB$2-YEAR(Main!$H$2)+1)</f>
        <v>9750</v>
      </c>
    </row>
    <row r="16" spans="1:54" s="203" customFormat="1" x14ac:dyDescent="0.15">
      <c r="A16" s="202" t="s">
        <v>154</v>
      </c>
      <c r="B16" s="245"/>
      <c r="C16" s="226">
        <f t="shared" ref="C16:F16" si="7">IFERROR(C13/C15,0)</f>
        <v>10</v>
      </c>
      <c r="D16" s="203">
        <f t="shared" si="7"/>
        <v>6.0606060606060606</v>
      </c>
      <c r="E16" s="203">
        <f t="shared" si="7"/>
        <v>5.5555555555555554</v>
      </c>
      <c r="F16" s="203">
        <f t="shared" si="7"/>
        <v>5.1282051282051286</v>
      </c>
      <c r="G16" s="203">
        <f t="shared" ref="G16:BB16" si="8">IFERROR(G13/G15,0)</f>
        <v>10</v>
      </c>
      <c r="H16" s="203">
        <f t="shared" si="8"/>
        <v>10</v>
      </c>
      <c r="I16" s="203">
        <f t="shared" si="8"/>
        <v>10</v>
      </c>
      <c r="J16" s="203">
        <f t="shared" si="8"/>
        <v>10</v>
      </c>
      <c r="K16" s="203">
        <f t="shared" si="8"/>
        <v>10</v>
      </c>
      <c r="L16" s="203">
        <f t="shared" si="8"/>
        <v>10</v>
      </c>
      <c r="M16" s="203">
        <f t="shared" si="8"/>
        <v>10</v>
      </c>
      <c r="N16" s="203">
        <f t="shared" si="8"/>
        <v>10</v>
      </c>
      <c r="O16" s="203">
        <f t="shared" si="8"/>
        <v>10</v>
      </c>
      <c r="P16" s="203">
        <f t="shared" si="8"/>
        <v>10</v>
      </c>
      <c r="Q16" s="203">
        <f t="shared" si="8"/>
        <v>10</v>
      </c>
      <c r="R16" s="203">
        <f t="shared" si="8"/>
        <v>10</v>
      </c>
      <c r="S16" s="203">
        <f t="shared" si="8"/>
        <v>6.0606060606060606</v>
      </c>
      <c r="T16" s="203">
        <f t="shared" si="8"/>
        <v>6.0606060606060606</v>
      </c>
      <c r="U16" s="203">
        <f t="shared" si="8"/>
        <v>6.0606060606060606</v>
      </c>
      <c r="V16" s="203">
        <f t="shared" si="8"/>
        <v>6.0606060606060606</v>
      </c>
      <c r="W16" s="203">
        <f t="shared" si="8"/>
        <v>6.0606060606060606</v>
      </c>
      <c r="X16" s="203">
        <f t="shared" si="8"/>
        <v>6.0606060606060606</v>
      </c>
      <c r="Y16" s="203">
        <f t="shared" si="8"/>
        <v>6.0606060606060606</v>
      </c>
      <c r="Z16" s="203">
        <f t="shared" si="8"/>
        <v>6.0606060606060606</v>
      </c>
      <c r="AA16" s="203">
        <f t="shared" si="8"/>
        <v>6.0606060606060606</v>
      </c>
      <c r="AB16" s="203">
        <f t="shared" si="8"/>
        <v>6.0606060606060606</v>
      </c>
      <c r="AC16" s="203">
        <f t="shared" si="8"/>
        <v>6.0606060606060606</v>
      </c>
      <c r="AD16" s="203">
        <f t="shared" si="8"/>
        <v>6.0606060606060606</v>
      </c>
      <c r="AE16" s="203">
        <f t="shared" si="8"/>
        <v>5.5555555555555554</v>
      </c>
      <c r="AF16" s="203">
        <f t="shared" si="8"/>
        <v>5.5555555555555554</v>
      </c>
      <c r="AG16" s="203">
        <f t="shared" si="8"/>
        <v>5.5555555555555554</v>
      </c>
      <c r="AH16" s="203">
        <f t="shared" si="8"/>
        <v>5.5555555555555554</v>
      </c>
      <c r="AI16" s="203">
        <f t="shared" si="8"/>
        <v>5.5555555555555554</v>
      </c>
      <c r="AJ16" s="203">
        <f t="shared" si="8"/>
        <v>5.5555555555555554</v>
      </c>
      <c r="AK16" s="203">
        <f t="shared" si="8"/>
        <v>5.5555555555555554</v>
      </c>
      <c r="AL16" s="203">
        <f t="shared" si="8"/>
        <v>5.5555555555555554</v>
      </c>
      <c r="AM16" s="203">
        <f t="shared" si="8"/>
        <v>5.5555555555555554</v>
      </c>
      <c r="AN16" s="203">
        <f t="shared" si="8"/>
        <v>5.5555555555555554</v>
      </c>
      <c r="AO16" s="203">
        <f t="shared" si="8"/>
        <v>5.5555555555555554</v>
      </c>
      <c r="AP16" s="203">
        <f t="shared" si="8"/>
        <v>5.5555555555555554</v>
      </c>
      <c r="AQ16" s="203">
        <f t="shared" si="8"/>
        <v>5.1282051282051286</v>
      </c>
      <c r="AR16" s="203">
        <f t="shared" si="8"/>
        <v>5.1282051282051286</v>
      </c>
      <c r="AS16" s="203">
        <f t="shared" si="8"/>
        <v>5.1282051282051286</v>
      </c>
      <c r="AT16" s="203">
        <f t="shared" si="8"/>
        <v>5.1282051282051286</v>
      </c>
      <c r="AU16" s="203">
        <f t="shared" si="8"/>
        <v>5.1282051282051286</v>
      </c>
      <c r="AV16" s="203">
        <f t="shared" si="8"/>
        <v>5.1282051282051286</v>
      </c>
      <c r="AW16" s="203">
        <f t="shared" si="8"/>
        <v>5.1282051282051286</v>
      </c>
      <c r="AX16" s="203">
        <f t="shared" si="8"/>
        <v>5.1282051282051286</v>
      </c>
      <c r="AY16" s="203">
        <f t="shared" si="8"/>
        <v>5.1282051282051286</v>
      </c>
      <c r="AZ16" s="203">
        <f t="shared" si="8"/>
        <v>5.1282051282051286</v>
      </c>
      <c r="BA16" s="203">
        <f t="shared" si="8"/>
        <v>5.1282051282051286</v>
      </c>
      <c r="BB16" s="203">
        <f t="shared" si="8"/>
        <v>5.1282051282051286</v>
      </c>
    </row>
    <row r="17" spans="1:54" s="170" customFormat="1" x14ac:dyDescent="0.15">
      <c r="B17" s="243"/>
      <c r="C17" s="230"/>
    </row>
    <row r="18" spans="1:54" s="196" customFormat="1" x14ac:dyDescent="0.15">
      <c r="A18" s="196" t="s">
        <v>131</v>
      </c>
      <c r="B18" s="246"/>
      <c r="C18" s="231"/>
    </row>
    <row r="19" spans="1:54" s="170" customFormat="1" x14ac:dyDescent="0.15">
      <c r="A19" s="187" t="s">
        <v>157</v>
      </c>
      <c r="B19" s="243"/>
      <c r="C19" s="80">
        <f t="shared" ref="C19:F19" si="9">SUMIFS($G19:$BB19,$G$2:$BB$2,C$3)</f>
        <v>1</v>
      </c>
      <c r="D19" s="80">
        <f t="shared" si="9"/>
        <v>2</v>
      </c>
      <c r="E19" s="80">
        <f t="shared" si="9"/>
        <v>1</v>
      </c>
      <c r="F19" s="80">
        <f t="shared" si="9"/>
        <v>8</v>
      </c>
      <c r="G19" s="170">
        <f>+G20</f>
        <v>0</v>
      </c>
      <c r="H19" s="170">
        <f t="shared" ref="H19:BB19" si="10">+H20-G20</f>
        <v>0</v>
      </c>
      <c r="I19" s="170">
        <f t="shared" si="10"/>
        <v>0</v>
      </c>
      <c r="J19" s="170">
        <f t="shared" si="10"/>
        <v>0</v>
      </c>
      <c r="K19" s="170">
        <f t="shared" si="10"/>
        <v>0</v>
      </c>
      <c r="L19" s="170">
        <f t="shared" si="10"/>
        <v>0</v>
      </c>
      <c r="M19" s="170">
        <f t="shared" si="10"/>
        <v>1</v>
      </c>
      <c r="N19" s="170">
        <f t="shared" si="10"/>
        <v>0</v>
      </c>
      <c r="O19" s="170">
        <f t="shared" si="10"/>
        <v>0</v>
      </c>
      <c r="P19" s="170">
        <f t="shared" si="10"/>
        <v>0</v>
      </c>
      <c r="Q19" s="170">
        <f t="shared" si="10"/>
        <v>0</v>
      </c>
      <c r="R19" s="170">
        <f t="shared" si="10"/>
        <v>0</v>
      </c>
      <c r="S19" s="170">
        <f t="shared" si="10"/>
        <v>1</v>
      </c>
      <c r="T19" s="170">
        <f t="shared" si="10"/>
        <v>0</v>
      </c>
      <c r="U19" s="170">
        <f t="shared" si="10"/>
        <v>0</v>
      </c>
      <c r="V19" s="170">
        <f t="shared" si="10"/>
        <v>0</v>
      </c>
      <c r="W19" s="170">
        <f t="shared" si="10"/>
        <v>0</v>
      </c>
      <c r="X19" s="170">
        <f t="shared" si="10"/>
        <v>0</v>
      </c>
      <c r="Y19" s="170">
        <f t="shared" si="10"/>
        <v>1</v>
      </c>
      <c r="Z19" s="170">
        <f t="shared" si="10"/>
        <v>0</v>
      </c>
      <c r="AA19" s="170">
        <f t="shared" si="10"/>
        <v>0</v>
      </c>
      <c r="AB19" s="170">
        <f t="shared" si="10"/>
        <v>0</v>
      </c>
      <c r="AC19" s="170">
        <f t="shared" si="10"/>
        <v>0</v>
      </c>
      <c r="AD19" s="170">
        <f t="shared" si="10"/>
        <v>0</v>
      </c>
      <c r="AE19" s="170">
        <f t="shared" si="10"/>
        <v>0</v>
      </c>
      <c r="AF19" s="170">
        <f t="shared" si="10"/>
        <v>0</v>
      </c>
      <c r="AG19" s="170">
        <f t="shared" si="10"/>
        <v>0</v>
      </c>
      <c r="AH19" s="170">
        <f t="shared" si="10"/>
        <v>0</v>
      </c>
      <c r="AI19" s="170">
        <f t="shared" si="10"/>
        <v>0</v>
      </c>
      <c r="AJ19" s="170">
        <f t="shared" si="10"/>
        <v>0</v>
      </c>
      <c r="AK19" s="170">
        <f t="shared" si="10"/>
        <v>0</v>
      </c>
      <c r="AL19" s="170">
        <f t="shared" si="10"/>
        <v>0</v>
      </c>
      <c r="AM19" s="170">
        <f t="shared" si="10"/>
        <v>0</v>
      </c>
      <c r="AN19" s="170">
        <f t="shared" si="10"/>
        <v>1</v>
      </c>
      <c r="AO19" s="170">
        <f t="shared" si="10"/>
        <v>0</v>
      </c>
      <c r="AP19" s="170">
        <f t="shared" si="10"/>
        <v>0</v>
      </c>
      <c r="AQ19" s="170">
        <f t="shared" si="10"/>
        <v>1</v>
      </c>
      <c r="AR19" s="170">
        <f t="shared" si="10"/>
        <v>0</v>
      </c>
      <c r="AS19" s="170">
        <f t="shared" si="10"/>
        <v>0</v>
      </c>
      <c r="AT19" s="170">
        <f t="shared" si="10"/>
        <v>2</v>
      </c>
      <c r="AU19" s="170">
        <f t="shared" si="10"/>
        <v>0</v>
      </c>
      <c r="AV19" s="170">
        <f t="shared" si="10"/>
        <v>0</v>
      </c>
      <c r="AW19" s="170">
        <f t="shared" si="10"/>
        <v>2</v>
      </c>
      <c r="AX19" s="170">
        <f t="shared" si="10"/>
        <v>0</v>
      </c>
      <c r="AY19" s="170">
        <f t="shared" si="10"/>
        <v>0</v>
      </c>
      <c r="AZ19" s="170">
        <f t="shared" si="10"/>
        <v>3</v>
      </c>
      <c r="BA19" s="170">
        <f t="shared" si="10"/>
        <v>0</v>
      </c>
      <c r="BB19" s="170">
        <f t="shared" si="10"/>
        <v>0</v>
      </c>
    </row>
    <row r="20" spans="1:54" s="170" customFormat="1" x14ac:dyDescent="0.15">
      <c r="A20" s="170" t="s">
        <v>186</v>
      </c>
      <c r="B20" s="243"/>
      <c r="C20" s="80">
        <f>SUMIFS($G20:$BB20,$G$3:$BB$3,DATE(C$3,12,31))</f>
        <v>1</v>
      </c>
      <c r="D20" s="80">
        <f t="shared" ref="D20:F23" si="11">SUMIFS($G20:$BB20,$G$3:$BB$3,DATE(D$3,12,31))</f>
        <v>3</v>
      </c>
      <c r="E20" s="80">
        <f t="shared" si="11"/>
        <v>4</v>
      </c>
      <c r="F20" s="80">
        <f t="shared" si="11"/>
        <v>12</v>
      </c>
      <c r="G20" s="170">
        <f>VLOOKUP(G$2,Main!$J$26:$N$29,ROUNDUP(MONTH(G$3)/3,0)+1,0)</f>
        <v>0</v>
      </c>
      <c r="H20" s="170">
        <f>VLOOKUP(H$2,Main!$J$26:$N$29,ROUNDUP(MONTH(H$3)/3,0)+1,0)</f>
        <v>0</v>
      </c>
      <c r="I20" s="170">
        <f>VLOOKUP(I$2,Main!$J$26:$N$29,ROUNDUP(MONTH(I$3)/3,0)+1,0)</f>
        <v>0</v>
      </c>
      <c r="J20" s="170">
        <f>VLOOKUP(J$2,Main!$J$26:$N$29,ROUNDUP(MONTH(J$3)/3,0)+1,0)</f>
        <v>0</v>
      </c>
      <c r="K20" s="170">
        <f>VLOOKUP(K$2,Main!$J$26:$N$29,ROUNDUP(MONTH(K$3)/3,0)+1,0)</f>
        <v>0</v>
      </c>
      <c r="L20" s="170">
        <f>VLOOKUP(L$2,Main!$J$26:$N$29,ROUNDUP(MONTH(L$3)/3,0)+1,0)</f>
        <v>0</v>
      </c>
      <c r="M20" s="170">
        <f>VLOOKUP(M$2,Main!$J$26:$N$29,ROUNDUP(MONTH(M$3)/3,0)+1,0)</f>
        <v>1</v>
      </c>
      <c r="N20" s="170">
        <f>VLOOKUP(N$2,Main!$J$26:$N$29,ROUNDUP(MONTH(N$3)/3,0)+1,0)</f>
        <v>1</v>
      </c>
      <c r="O20" s="170">
        <f>VLOOKUP(O$2,Main!$J$26:$N$29,ROUNDUP(MONTH(O$3)/3,0)+1,0)</f>
        <v>1</v>
      </c>
      <c r="P20" s="170">
        <f>VLOOKUP(P$2,Main!$J$26:$N$29,ROUNDUP(MONTH(P$3)/3,0)+1,0)</f>
        <v>1</v>
      </c>
      <c r="Q20" s="170">
        <f>VLOOKUP(Q$2,Main!$J$26:$N$29,ROUNDUP(MONTH(Q$3)/3,0)+1,0)</f>
        <v>1</v>
      </c>
      <c r="R20" s="170">
        <f>VLOOKUP(R$2,Main!$J$26:$N$29,ROUNDUP(MONTH(R$3)/3,0)+1,0)</f>
        <v>1</v>
      </c>
      <c r="S20" s="170">
        <f>VLOOKUP(S$2,Main!$J$26:$N$29,ROUNDUP(MONTH(S$3)/3,0)+1,0)</f>
        <v>2</v>
      </c>
      <c r="T20" s="170">
        <f>VLOOKUP(T$2,Main!$J$26:$N$29,ROUNDUP(MONTH(T$3)/3,0)+1,0)</f>
        <v>2</v>
      </c>
      <c r="U20" s="170">
        <f>VLOOKUP(U$2,Main!$J$26:$N$29,ROUNDUP(MONTH(U$3)/3,0)+1,0)</f>
        <v>2</v>
      </c>
      <c r="V20" s="170">
        <f>VLOOKUP(V$2,Main!$J$26:$N$29,ROUNDUP(MONTH(V$3)/3,0)+1,0)</f>
        <v>2</v>
      </c>
      <c r="W20" s="170">
        <f>VLOOKUP(W$2,Main!$J$26:$N$29,ROUNDUP(MONTH(W$3)/3,0)+1,0)</f>
        <v>2</v>
      </c>
      <c r="X20" s="170">
        <f>VLOOKUP(X$2,Main!$J$26:$N$29,ROUNDUP(MONTH(X$3)/3,0)+1,0)</f>
        <v>2</v>
      </c>
      <c r="Y20" s="170">
        <f>VLOOKUP(Y$2,Main!$J$26:$N$29,ROUNDUP(MONTH(Y$3)/3,0)+1,0)</f>
        <v>3</v>
      </c>
      <c r="Z20" s="170">
        <f>VLOOKUP(Z$2,Main!$J$26:$N$29,ROUNDUP(MONTH(Z$3)/3,0)+1,0)</f>
        <v>3</v>
      </c>
      <c r="AA20" s="170">
        <f>VLOOKUP(AA$2,Main!$J$26:$N$29,ROUNDUP(MONTH(AA$3)/3,0)+1,0)</f>
        <v>3</v>
      </c>
      <c r="AB20" s="170">
        <f>VLOOKUP(AB$2,Main!$J$26:$N$29,ROUNDUP(MONTH(AB$3)/3,0)+1,0)</f>
        <v>3</v>
      </c>
      <c r="AC20" s="170">
        <f>VLOOKUP(AC$2,Main!$J$26:$N$29,ROUNDUP(MONTH(AC$3)/3,0)+1,0)</f>
        <v>3</v>
      </c>
      <c r="AD20" s="170">
        <f>VLOOKUP(AD$2,Main!$J$26:$N$29,ROUNDUP(MONTH(AD$3)/3,0)+1,0)</f>
        <v>3</v>
      </c>
      <c r="AE20" s="170">
        <f>VLOOKUP(AE$2,Main!$J$26:$N$29,ROUNDUP(MONTH(AE$3)/3,0)+1,0)</f>
        <v>3</v>
      </c>
      <c r="AF20" s="170">
        <f>VLOOKUP(AF$2,Main!$J$26:$N$29,ROUNDUP(MONTH(AF$3)/3,0)+1,0)</f>
        <v>3</v>
      </c>
      <c r="AG20" s="170">
        <f>VLOOKUP(AG$2,Main!$J$26:$N$29,ROUNDUP(MONTH(AG$3)/3,0)+1,0)</f>
        <v>3</v>
      </c>
      <c r="AH20" s="170">
        <f>VLOOKUP(AH$2,Main!$J$26:$N$29,ROUNDUP(MONTH(AH$3)/3,0)+1,0)</f>
        <v>3</v>
      </c>
      <c r="AI20" s="170">
        <f>VLOOKUP(AI$2,Main!$J$26:$N$29,ROUNDUP(MONTH(AI$3)/3,0)+1,0)</f>
        <v>3</v>
      </c>
      <c r="AJ20" s="170">
        <f>VLOOKUP(AJ$2,Main!$J$26:$N$29,ROUNDUP(MONTH(AJ$3)/3,0)+1,0)</f>
        <v>3</v>
      </c>
      <c r="AK20" s="170">
        <f>VLOOKUP(AK$2,Main!$J$26:$N$29,ROUNDUP(MONTH(AK$3)/3,0)+1,0)</f>
        <v>3</v>
      </c>
      <c r="AL20" s="170">
        <f>VLOOKUP(AL$2,Main!$J$26:$N$29,ROUNDUP(MONTH(AL$3)/3,0)+1,0)</f>
        <v>3</v>
      </c>
      <c r="AM20" s="170">
        <f>VLOOKUP(AM$2,Main!$J$26:$N$29,ROUNDUP(MONTH(AM$3)/3,0)+1,0)</f>
        <v>3</v>
      </c>
      <c r="AN20" s="170">
        <f>VLOOKUP(AN$2,Main!$J$26:$N$29,ROUNDUP(MONTH(AN$3)/3,0)+1,0)</f>
        <v>4</v>
      </c>
      <c r="AO20" s="170">
        <f>VLOOKUP(AO$2,Main!$J$26:$N$29,ROUNDUP(MONTH(AO$3)/3,0)+1,0)</f>
        <v>4</v>
      </c>
      <c r="AP20" s="170">
        <f>VLOOKUP(AP$2,Main!$J$26:$N$29,ROUNDUP(MONTH(AP$3)/3,0)+1,0)</f>
        <v>4</v>
      </c>
      <c r="AQ20" s="170">
        <f>VLOOKUP(AQ$2,Main!$J$26:$N$29,ROUNDUP(MONTH(AQ$3)/3,0)+1,0)</f>
        <v>5</v>
      </c>
      <c r="AR20" s="170">
        <f>VLOOKUP(AR$2,Main!$J$26:$N$29,ROUNDUP(MONTH(AR$3)/3,0)+1,0)</f>
        <v>5</v>
      </c>
      <c r="AS20" s="170">
        <f>VLOOKUP(AS$2,Main!$J$26:$N$29,ROUNDUP(MONTH(AS$3)/3,0)+1,0)</f>
        <v>5</v>
      </c>
      <c r="AT20" s="170">
        <f>VLOOKUP(AT$2,Main!$J$26:$N$29,ROUNDUP(MONTH(AT$3)/3,0)+1,0)</f>
        <v>7</v>
      </c>
      <c r="AU20" s="170">
        <f>VLOOKUP(AU$2,Main!$J$26:$N$29,ROUNDUP(MONTH(AU$3)/3,0)+1,0)</f>
        <v>7</v>
      </c>
      <c r="AV20" s="170">
        <f>VLOOKUP(AV$2,Main!$J$26:$N$29,ROUNDUP(MONTH(AV$3)/3,0)+1,0)</f>
        <v>7</v>
      </c>
      <c r="AW20" s="170">
        <f>VLOOKUP(AW$2,Main!$J$26:$N$29,ROUNDUP(MONTH(AW$3)/3,0)+1,0)</f>
        <v>9</v>
      </c>
      <c r="AX20" s="170">
        <f>VLOOKUP(AX$2,Main!$J$26:$N$29,ROUNDUP(MONTH(AX$3)/3,0)+1,0)</f>
        <v>9</v>
      </c>
      <c r="AY20" s="170">
        <f>VLOOKUP(AY$2,Main!$J$26:$N$29,ROUNDUP(MONTH(AY$3)/3,0)+1,0)</f>
        <v>9</v>
      </c>
      <c r="AZ20" s="170">
        <f>VLOOKUP(AZ$2,Main!$J$26:$N$29,ROUNDUP(MONTH(AZ$3)/3,0)+1,0)</f>
        <v>12</v>
      </c>
      <c r="BA20" s="170">
        <f>VLOOKUP(BA$2,Main!$J$26:$N$29,ROUNDUP(MONTH(BA$3)/3,0)+1,0)</f>
        <v>12</v>
      </c>
      <c r="BB20" s="170">
        <f>VLOOKUP(BB$2,Main!$J$26:$N$29,ROUNDUP(MONTH(BB$3)/3,0)+1,0)</f>
        <v>12</v>
      </c>
    </row>
    <row r="21" spans="1:54" s="170" customFormat="1" x14ac:dyDescent="0.15">
      <c r="A21" s="187" t="s">
        <v>156</v>
      </c>
      <c r="B21" s="243"/>
      <c r="C21" s="230"/>
    </row>
    <row r="22" spans="1:54" s="170" customFormat="1" x14ac:dyDescent="0.15">
      <c r="A22" s="186" t="s">
        <v>158</v>
      </c>
      <c r="B22" s="243"/>
      <c r="C22" s="171">
        <f>SUMIFS($G22:$BB22,$G$3:$BB$3,DATE(C$3,12,31))</f>
        <v>0</v>
      </c>
      <c r="D22" s="171">
        <f t="shared" si="11"/>
        <v>0</v>
      </c>
      <c r="E22" s="171">
        <f t="shared" si="11"/>
        <v>500</v>
      </c>
      <c r="F22" s="171">
        <f t="shared" si="11"/>
        <v>1500</v>
      </c>
      <c r="G22" s="170">
        <f>Sales!G19*Main!$K$23*(1/3)</f>
        <v>0</v>
      </c>
      <c r="H22" s="170">
        <f>+Sales!G19*Main!$K$23*(2/3)+Sales!H19*Main!$K$23*(1/3)</f>
        <v>0</v>
      </c>
      <c r="I22" s="170">
        <f>+G19*Main!$K$23+Sales!H19*Main!$K$23*(2/3)+Sales!I19*Main!$K$23*(1/3)</f>
        <v>0</v>
      </c>
      <c r="J22" s="170">
        <f>+H19*Main!$K$23+Sales!I19*Main!$K$23*(2/3)+Sales!J19*Main!$K$23*(1/3)</f>
        <v>0</v>
      </c>
      <c r="K22" s="170">
        <f>+I19*Main!$K$23+Sales!J19*Main!$K$23*(2/3)+Sales!K19*Main!$K$23*(1/3)</f>
        <v>0</v>
      </c>
      <c r="L22" s="170">
        <f>+J19*Main!$K$23+Sales!K19*Main!$K$23*(2/3)+Sales!L19*Main!$K$23*(1/3)</f>
        <v>0</v>
      </c>
      <c r="M22" s="170">
        <f>+K19*Main!$K$23+Sales!L19*Main!$K$23*(2/3)+Sales!M19*Main!$K$23*(1/3)</f>
        <v>166.66666666666666</v>
      </c>
      <c r="N22" s="170">
        <f>+L19*Main!$K$23+Sales!M19*Main!$K$23*(2/3)+Sales!N19*Main!$K$23*(1/3)</f>
        <v>333.33333333333331</v>
      </c>
      <c r="O22" s="170">
        <f>+M19*Main!$K$23+Sales!N19*Main!$K$23*(2/3)+Sales!O19*Main!$K$23*(1/3)</f>
        <v>500</v>
      </c>
      <c r="P22" s="170">
        <f>+N19*Main!$K$23+Sales!O19*Main!$K$23*(2/3)+Sales!P19*Main!$K$23*(1/3)</f>
        <v>0</v>
      </c>
      <c r="Q22" s="170">
        <f>+O19*Main!$K$23+Sales!P19*Main!$K$23*(2/3)+Sales!Q19*Main!$K$23*(1/3)</f>
        <v>0</v>
      </c>
      <c r="R22" s="170">
        <f>+P19*Main!$K$23+Sales!Q19*Main!$K$23*(2/3)+Sales!R19*Main!$K$23*(1/3)</f>
        <v>0</v>
      </c>
      <c r="S22" s="170">
        <f>+Q19*Main!$K$23+Sales!R19*Main!$K$23*(2/3)+Sales!S19*Main!$K$23*(1/3)</f>
        <v>166.66666666666666</v>
      </c>
      <c r="T22" s="170">
        <f>+R19*Main!$K$23+Sales!S19*Main!$K$23*(2/3)+Sales!T19*Main!$K$23*(1/3)</f>
        <v>333.33333333333331</v>
      </c>
      <c r="U22" s="170">
        <f>+S19*Main!$K$23+Sales!T19*Main!$K$23*(2/3)+Sales!U19*Main!$K$23*(1/3)</f>
        <v>500</v>
      </c>
      <c r="V22" s="170">
        <f>+T19*Main!$K$23+Sales!U19*Main!$K$23*(2/3)+Sales!V19*Main!$K$23*(1/3)</f>
        <v>0</v>
      </c>
      <c r="W22" s="170">
        <f>+U19*Main!$K$23+Sales!V19*Main!$K$23*(2/3)+Sales!W19*Main!$K$23*(1/3)</f>
        <v>0</v>
      </c>
      <c r="X22" s="170">
        <f>+V19*Main!$K$23+Sales!W19*Main!$K$23*(2/3)+Sales!X19*Main!$K$23*(1/3)</f>
        <v>0</v>
      </c>
      <c r="Y22" s="170">
        <f>+W19*Main!$K$23+Sales!X19*Main!$K$23*(2/3)+Sales!Y19*Main!$K$23*(1/3)</f>
        <v>166.66666666666666</v>
      </c>
      <c r="Z22" s="170">
        <f>+X19*Main!$K$23+Sales!Y19*Main!$K$23*(2/3)+Sales!Z19*Main!$K$23*(1/3)</f>
        <v>333.33333333333331</v>
      </c>
      <c r="AA22" s="170">
        <f>+Y19*Main!$K$23+Sales!Z19*Main!$K$23*(2/3)+Sales!AA19*Main!$K$23*(1/3)</f>
        <v>500</v>
      </c>
      <c r="AB22" s="170">
        <f>+Z19*Main!$K$23+Sales!AA19*Main!$K$23*(2/3)+Sales!AB19*Main!$K$23*(1/3)</f>
        <v>0</v>
      </c>
      <c r="AC22" s="170">
        <f>+AA19*Main!$K$23+Sales!AB19*Main!$K$23*(2/3)+Sales!AC19*Main!$K$23*(1/3)</f>
        <v>0</v>
      </c>
      <c r="AD22" s="170">
        <f>+AB19*Main!$K$23+Sales!AC19*Main!$K$23*(2/3)+Sales!AD19*Main!$K$23*(1/3)</f>
        <v>0</v>
      </c>
      <c r="AE22" s="170">
        <f>+AC19*Main!$K$23+Sales!AD19*Main!$K$23*(2/3)+Sales!AE19*Main!$K$23*(1/3)</f>
        <v>0</v>
      </c>
      <c r="AF22" s="170">
        <f>+AD19*Main!$K$23+Sales!AE19*Main!$K$23*(2/3)+Sales!AF19*Main!$K$23*(1/3)</f>
        <v>0</v>
      </c>
      <c r="AG22" s="170">
        <f>+AE19*Main!$K$23+Sales!AF19*Main!$K$23*(2/3)+Sales!AG19*Main!$K$23*(1/3)</f>
        <v>0</v>
      </c>
      <c r="AH22" s="170">
        <f>+AF19*Main!$K$23+Sales!AG19*Main!$K$23*(2/3)+Sales!AH19*Main!$K$23*(1/3)</f>
        <v>0</v>
      </c>
      <c r="AI22" s="170">
        <f>+AG19*Main!$K$23+Sales!AH19*Main!$K$23*(2/3)+Sales!AI19*Main!$K$23*(1/3)</f>
        <v>0</v>
      </c>
      <c r="AJ22" s="170">
        <f>+AH19*Main!$K$23+Sales!AI19*Main!$K$23*(2/3)+Sales!AJ19*Main!$K$23*(1/3)</f>
        <v>0</v>
      </c>
      <c r="AK22" s="170">
        <f>+AI19*Main!$K$23+Sales!AJ19*Main!$K$23*(2/3)+Sales!AK19*Main!$K$23*(1/3)</f>
        <v>0</v>
      </c>
      <c r="AL22" s="170">
        <f>+AJ19*Main!$K$23+Sales!AK19*Main!$K$23*(2/3)+Sales!AL19*Main!$K$23*(1/3)</f>
        <v>0</v>
      </c>
      <c r="AM22" s="170">
        <f>+AK19*Main!$K$23+Sales!AL19*Main!$K$23*(2/3)+Sales!AM19*Main!$K$23*(1/3)</f>
        <v>0</v>
      </c>
      <c r="AN22" s="170">
        <f>+AL19*Main!$K$23+Sales!AM19*Main!$K$23*(2/3)+Sales!AN19*Main!$K$23*(1/3)</f>
        <v>166.66666666666666</v>
      </c>
      <c r="AO22" s="170">
        <f>+AM19*Main!$K$23+Sales!AN19*Main!$K$23*(2/3)+Sales!AO19*Main!$K$23*(1/3)</f>
        <v>333.33333333333331</v>
      </c>
      <c r="AP22" s="170">
        <f>+AN19*Main!$K$23+Sales!AO19*Main!$K$23*(2/3)+Sales!AP19*Main!$K$23*(1/3)</f>
        <v>500</v>
      </c>
      <c r="AQ22" s="170">
        <f>+AO19*Main!$K$23+Sales!AP19*Main!$K$23*(2/3)+Sales!AQ19*Main!$K$23*(1/3)</f>
        <v>166.66666666666666</v>
      </c>
      <c r="AR22" s="170">
        <f>+AP19*Main!$K$23+Sales!AQ19*Main!$K$23*(2/3)+Sales!AR19*Main!$K$23*(1/3)</f>
        <v>333.33333333333331</v>
      </c>
      <c r="AS22" s="170">
        <f>+AQ19*Main!$K$23+Sales!AR19*Main!$K$23*(2/3)+Sales!AS19*Main!$K$23*(1/3)</f>
        <v>500</v>
      </c>
      <c r="AT22" s="170">
        <f>+AR19*Main!$K$23+Sales!AS19*Main!$K$23*(2/3)+Sales!AT19*Main!$K$23*(1/3)</f>
        <v>333.33333333333331</v>
      </c>
      <c r="AU22" s="170">
        <f>+AS19*Main!$K$23+Sales!AT19*Main!$K$23*(2/3)+Sales!AU19*Main!$K$23*(1/3)</f>
        <v>666.66666666666663</v>
      </c>
      <c r="AV22" s="170">
        <f>+AT19*Main!$K$23+Sales!AU19*Main!$K$23*(2/3)+Sales!AV19*Main!$K$23*(1/3)</f>
        <v>1000</v>
      </c>
      <c r="AW22" s="170">
        <f>+AU19*Main!$K$23+Sales!AV19*Main!$K$23*(2/3)+Sales!AW19*Main!$K$23*(1/3)</f>
        <v>333.33333333333331</v>
      </c>
      <c r="AX22" s="170">
        <f>+AV19*Main!$K$23+Sales!AW19*Main!$K$23*(2/3)+Sales!AX19*Main!$K$23*(1/3)</f>
        <v>666.66666666666663</v>
      </c>
      <c r="AY22" s="170">
        <f>+AW19*Main!$K$23+Sales!AX19*Main!$K$23*(2/3)+Sales!AY19*Main!$K$23*(1/3)</f>
        <v>1000</v>
      </c>
      <c r="AZ22" s="170">
        <f>+AX19*Main!$K$23+Sales!AY19*Main!$K$23*(2/3)+Sales!AZ19*Main!$K$23*(1/3)</f>
        <v>500</v>
      </c>
      <c r="BA22" s="170">
        <f>+AY19*Main!$K$23+Sales!AZ19*Main!$K$23*(2/3)+Sales!BA19*Main!$K$23*(1/3)</f>
        <v>1000</v>
      </c>
      <c r="BB22" s="170">
        <f>+AZ19*Main!$K$23+Sales!BA19*Main!$K$23*(2/3)+Sales!BB19*Main!$K$23*(1/3)</f>
        <v>1500</v>
      </c>
    </row>
    <row r="23" spans="1:54" s="170" customFormat="1" x14ac:dyDescent="0.15">
      <c r="A23" s="186" t="s">
        <v>159</v>
      </c>
      <c r="B23" s="243"/>
      <c r="C23" s="171">
        <f>SUMIFS($G23:$BB23,$G$3:$BB$3,DATE(C$3,12,31))</f>
        <v>515.42666044322232</v>
      </c>
      <c r="D23" s="171">
        <f t="shared" si="11"/>
        <v>1698.5602703037059</v>
      </c>
      <c r="E23" s="171">
        <f t="shared" si="11"/>
        <v>2038.2723243644466</v>
      </c>
      <c r="F23" s="171">
        <f t="shared" si="11"/>
        <v>5711.2818618077281</v>
      </c>
      <c r="G23" s="170">
        <v>0</v>
      </c>
      <c r="H23" s="170">
        <f>+G23*(1+Main!$K$24)^(1/12)+IF(MOD(MONTH(H$3)-1,3)=0,G22,0)</f>
        <v>0</v>
      </c>
      <c r="I23" s="170">
        <f>+H23*(1+Main!$K$24)^(1/12)+IF(MOD(MONTH(I$3)-1,3)=0,H22,0)</f>
        <v>0</v>
      </c>
      <c r="J23" s="170">
        <f>+I23*(1+Main!$K$24)^(1/12)+IF(MOD(MONTH(J$3)-1,3)=0,I22,0)</f>
        <v>0</v>
      </c>
      <c r="K23" s="170">
        <f>+J23*(1+Main!$K$24)^(1/12)+IF(MOD(MONTH(K$3)-1,3)=0,J22,0)</f>
        <v>0</v>
      </c>
      <c r="L23" s="170">
        <f>+K23*(1+Main!$K$24)^(1/12)+IF(MOD(MONTH(L$3)-1,3)=0,K22,0)</f>
        <v>0</v>
      </c>
      <c r="M23" s="170">
        <f>+L23*(1+Main!$K$24)^(1/12)+IF(MOD(MONTH(M$3)-1,3)=0,L22,0)</f>
        <v>0</v>
      </c>
      <c r="N23" s="170">
        <f>+M23*(1+Main!$K$24)^(1/12)+IF(MOD(MONTH(N$3)-1,3)=0,M22,0)</f>
        <v>0</v>
      </c>
      <c r="O23" s="170">
        <f>+N23*(1+Main!$K$24)^(1/12)+IF(MOD(MONTH(O$3)-1,3)=0,N22,0)</f>
        <v>0</v>
      </c>
      <c r="P23" s="170">
        <f>+O23*(1+Main!$K$24)^(1/12)+IF(MOD(MONTH(P$3)-1,3)=0,O22,0)</f>
        <v>500</v>
      </c>
      <c r="Q23" s="170">
        <f>+P23*(1+Main!$K$24)^(1/12)+IF(MOD(MONTH(Q$3)-1,3)=0,P22,0)</f>
        <v>507.65473524986561</v>
      </c>
      <c r="R23" s="170">
        <f>+Q23*(1+Main!$K$24)^(1/12)+IF(MOD(MONTH(R$3)-1,3)=0,Q22,0)</f>
        <v>515.42666044322232</v>
      </c>
      <c r="S23" s="170">
        <f>+R23*(1+Main!$K$24)^(1/12)+IF(MOD(MONTH(S$3)-1,3)=0,R22,0)</f>
        <v>523.31756969605283</v>
      </c>
      <c r="T23" s="170">
        <f>+S23*(1+Main!$K$24)^(1/12)+IF(MOD(MONTH(T$3)-1,3)=0,S22,0)</f>
        <v>531.32928459130562</v>
      </c>
      <c r="U23" s="170">
        <f>+T23*(1+Main!$K$24)^(1/12)+IF(MOD(MONTH(U$3)-1,3)=0,T22,0)</f>
        <v>539.46365459939955</v>
      </c>
      <c r="V23" s="170">
        <f>+U23*(1+Main!$K$24)^(1/12)+IF(MOD(MONTH(V$3)-1,3)=0,U22,0)</f>
        <v>1047.7225575051662</v>
      </c>
      <c r="W23" s="170">
        <f>+V23*(1+Main!$K$24)^(1/12)+IF(MOD(MONTH(W$3)-1,3)=0,V22,0)</f>
        <v>1063.7626350911944</v>
      </c>
      <c r="X23" s="170">
        <f>+W23*(1+Main!$K$24)^(1/12)+IF(MOD(MONTH(X$3)-1,3)=0,W22,0)</f>
        <v>1080.0482777718394</v>
      </c>
      <c r="Y23" s="170">
        <f>+X23*(1+Main!$K$24)^(1/12)+IF(MOD(MONTH(Y$3)-1,3)=0,X22,0)</f>
        <v>1096.5832450186729</v>
      </c>
      <c r="Z23" s="170">
        <f>+Y23*(1+Main!$K$24)^(1/12)+IF(MOD(MONTH(Z$3)-1,3)=0,Y22,0)</f>
        <v>1113.3713538587858</v>
      </c>
      <c r="AA23" s="170">
        <f>+Z23*(1+Main!$K$24)^(1/12)+IF(MOD(MONTH(AA$3)-1,3)=0,Z22,0)</f>
        <v>1130.4164797559326</v>
      </c>
      <c r="AB23" s="170">
        <f>+AA23*(1+Main!$K$24)^(1/12)+IF(MOD(MONTH(AB$3)-1,3)=0,AA22,0)</f>
        <v>1647.7225575051662</v>
      </c>
      <c r="AC23" s="170">
        <f>+AB23*(1+Main!$K$24)^(1/12)+IF(MOD(MONTH(AC$3)-1,3)=0,AB22,0)</f>
        <v>1672.948317391033</v>
      </c>
      <c r="AD23" s="170">
        <f>+AC23*(1+Main!$K$24)^(1/12)+IF(MOD(MONTH(AD$3)-1,3)=0,AC22,0)</f>
        <v>1698.5602703037059</v>
      </c>
      <c r="AE23" s="170">
        <f>+AD23*(1+Main!$K$24)^(1/12)+IF(MOD(MONTH(AE$3)-1,3)=0,AD22,0)</f>
        <v>1724.5643286539359</v>
      </c>
      <c r="AF23" s="170">
        <f>+AE23*(1+Main!$K$24)^(1/12)+IF(MOD(MONTH(AF$3)-1,3)=0,AE22,0)</f>
        <v>1750.9664953683521</v>
      </c>
      <c r="AG23" s="170">
        <f>+AF23*(1+Main!$K$24)^(1/12)+IF(MOD(MONTH(AG$3)-1,3)=0,AF22,0)</f>
        <v>1777.7728652752116</v>
      </c>
      <c r="AH23" s="170">
        <f>+AG23*(1+Main!$K$24)^(1/12)+IF(MOD(MONTH(AH$3)-1,3)=0,AG22,0)</f>
        <v>1804.989626511365</v>
      </c>
      <c r="AI23" s="170">
        <f>+AH23*(1+Main!$K$24)^(1/12)+IF(MOD(MONTH(AI$3)-1,3)=0,AH22,0)</f>
        <v>1832.6230619507617</v>
      </c>
      <c r="AJ23" s="170">
        <f>+AI23*(1+Main!$K$24)^(1/12)+IF(MOD(MONTH(AJ$3)-1,3)=0,AI22,0)</f>
        <v>1860.679550654824</v>
      </c>
      <c r="AK23" s="170">
        <f>+AJ23*(1+Main!$K$24)^(1/12)+IF(MOD(MONTH(AK$3)-1,3)=0,AJ22,0)</f>
        <v>1889.1655693450271</v>
      </c>
      <c r="AL23" s="170">
        <f>+AK23*(1+Main!$K$24)^(1/12)+IF(MOD(MONTH(AL$3)-1,3)=0,AK22,0)</f>
        <v>1918.0876938980227</v>
      </c>
      <c r="AM23" s="170">
        <f>+AL23*(1+Main!$K$24)^(1/12)+IF(MOD(MONTH(AM$3)-1,3)=0,AL22,0)</f>
        <v>1947.4526008636519</v>
      </c>
      <c r="AN23" s="170">
        <f>+AM23*(1+Main!$K$24)^(1/12)+IF(MOD(MONTH(AN$3)-1,3)=0,AM22,0)</f>
        <v>1977.2670690061989</v>
      </c>
      <c r="AO23" s="170">
        <f>+AN23*(1+Main!$K$24)^(1/12)+IF(MOD(MONTH(AO$3)-1,3)=0,AN22,0)</f>
        <v>2007.5379808692392</v>
      </c>
      <c r="AP23" s="170">
        <f>+AO23*(1+Main!$K$24)^(1/12)+IF(MOD(MONTH(AP$3)-1,3)=0,AO22,0)</f>
        <v>2038.2723243644466</v>
      </c>
      <c r="AQ23" s="170">
        <f>+AP23*(1+Main!$K$24)^(1/12)+IF(MOD(MONTH(AQ$3)-1,3)=0,AP22,0)</f>
        <v>2569.4771943847227</v>
      </c>
      <c r="AR23" s="170">
        <f>+AQ23*(1+Main!$K$24)^(1/12)+IF(MOD(MONTH(AR$3)-1,3)=0,AQ22,0)</f>
        <v>2608.8145296918879</v>
      </c>
      <c r="AS23" s="170">
        <f>+AR23*(1+Main!$K$24)^(1/12)+IF(MOD(MONTH(AS$3)-1,3)=0,AR22,0)</f>
        <v>2648.754098773476</v>
      </c>
      <c r="AT23" s="170">
        <f>+AS23*(1+Main!$K$24)^(1/12)+IF(MOD(MONTH(AT$3)-1,3)=0,AS22,0)</f>
        <v>3189.3051215096907</v>
      </c>
      <c r="AU23" s="170">
        <f>+AT23*(1+Main!$K$24)^(1/12)+IF(MOD(MONTH(AU$3)-1,3)=0,AT22,0)</f>
        <v>3238.1316941820851</v>
      </c>
      <c r="AV23" s="170">
        <f>+AU23*(1+Main!$K$24)^(1/12)+IF(MOD(MONTH(AV$3)-1,3)=0,AU22,0)</f>
        <v>3287.7057758284104</v>
      </c>
      <c r="AW23" s="170">
        <f>+AV23*(1+Main!$K$24)^(1/12)+IF(MOD(MONTH(AW$3)-1,3)=0,AV22,0)</f>
        <v>4338.0388104152516</v>
      </c>
      <c r="AX23" s="170">
        <f>+AW23*(1+Main!$K$24)^(1/12)+IF(MOD(MONTH(AX$3)-1,3)=0,AW22,0)</f>
        <v>4404.4518876099928</v>
      </c>
      <c r="AY23" s="170">
        <f>+AX23*(1+Main!$K$24)^(1/12)+IF(MOD(MONTH(AY$3)-1,3)=0,AX22,0)</f>
        <v>4471.881713850843</v>
      </c>
      <c r="AZ23" s="170">
        <f>+AY23*(1+Main!$K$24)^(1/12)+IF(MOD(MONTH(AZ$3)-1,3)=0,AY22,0)</f>
        <v>5540.3438550273295</v>
      </c>
      <c r="BA23" s="170">
        <f>+AZ23*(1+Main!$K$24)^(1/12)+IF(MOD(MONTH(BA$3)-1,3)=0,AZ22,0)</f>
        <v>5625.163585834237</v>
      </c>
      <c r="BB23" s="170">
        <f>+BA23*(1+Main!$K$24)^(1/12)+IF(MOD(MONTH(BB$3)-1,3)=0,BA22,0)</f>
        <v>5711.2818618077281</v>
      </c>
    </row>
    <row r="24" spans="1:54" s="170" customFormat="1" x14ac:dyDescent="0.15">
      <c r="A24" s="170" t="s">
        <v>161</v>
      </c>
      <c r="B24" s="243"/>
      <c r="C24" s="171">
        <f t="shared" ref="C24:F25" si="12">SUMIFS($G24:$BB24,$G$2:$BB$2,C$3)</f>
        <v>2523.0813956930879</v>
      </c>
      <c r="D24" s="171">
        <f t="shared" si="12"/>
        <v>15145.246203088254</v>
      </c>
      <c r="E24" s="171">
        <f t="shared" si="12"/>
        <v>23529.379166761039</v>
      </c>
      <c r="F24" s="171">
        <f t="shared" si="12"/>
        <v>55633.350128915656</v>
      </c>
      <c r="G24" s="170">
        <f>+G25*INDEX(Main!$K$22:$N$22,G$2-YEAR(Main!$H$2)+1)</f>
        <v>0</v>
      </c>
      <c r="H24" s="170">
        <f>+H25*INDEX(Main!$K$22:$N$22,H$2-YEAR(Main!$H$2)+1)</f>
        <v>0</v>
      </c>
      <c r="I24" s="170">
        <f>+I25*INDEX(Main!$K$22:$N$22,I$2-YEAR(Main!$H$2)+1)</f>
        <v>0</v>
      </c>
      <c r="J24" s="170">
        <f>+J25*INDEX(Main!$K$22:$N$22,J$2-YEAR(Main!$H$2)+1)</f>
        <v>0</v>
      </c>
      <c r="K24" s="170">
        <f>+K25*INDEX(Main!$K$22:$N$22,K$2-YEAR(Main!$H$2)+1)</f>
        <v>0</v>
      </c>
      <c r="L24" s="170">
        <f>+L25*INDEX(Main!$K$22:$N$22,L$2-YEAR(Main!$H$2)+1)</f>
        <v>0</v>
      </c>
      <c r="M24" s="170">
        <f>+M25*INDEX(Main!$K$22:$N$22,M$2-YEAR(Main!$H$2)+1)</f>
        <v>166.66666666666666</v>
      </c>
      <c r="N24" s="170">
        <f>+N25*INDEX(Main!$K$22:$N$22,N$2-YEAR(Main!$H$2)+1)</f>
        <v>333.33333333333331</v>
      </c>
      <c r="O24" s="170">
        <f>+O25*INDEX(Main!$K$22:$N$22,O$2-YEAR(Main!$H$2)+1)</f>
        <v>500</v>
      </c>
      <c r="P24" s="170">
        <f>+P25*INDEX(Main!$K$22:$N$22,P$2-YEAR(Main!$H$2)+1)</f>
        <v>500</v>
      </c>
      <c r="Q24" s="170">
        <f>+Q25*INDEX(Main!$K$22:$N$22,Q$2-YEAR(Main!$H$2)+1)</f>
        <v>507.65473524986561</v>
      </c>
      <c r="R24" s="170">
        <f>+R25*INDEX(Main!$K$22:$N$22,R$2-YEAR(Main!$H$2)+1)</f>
        <v>515.42666044322232</v>
      </c>
      <c r="S24" s="170">
        <f>+S25*INDEX(Main!$K$22:$N$22,S$2-YEAR(Main!$H$2)+1)</f>
        <v>689.98423636271946</v>
      </c>
      <c r="T24" s="170">
        <f>+T25*INDEX(Main!$K$22:$N$22,T$2-YEAR(Main!$H$2)+1)</f>
        <v>864.66261792463888</v>
      </c>
      <c r="U24" s="170">
        <f>+U25*INDEX(Main!$K$22:$N$22,U$2-YEAR(Main!$H$2)+1)</f>
        <v>1039.4636545993994</v>
      </c>
      <c r="V24" s="170">
        <f>+V25*INDEX(Main!$K$22:$N$22,V$2-YEAR(Main!$H$2)+1)</f>
        <v>1047.7225575051662</v>
      </c>
      <c r="W24" s="170">
        <f>+W25*INDEX(Main!$K$22:$N$22,W$2-YEAR(Main!$H$2)+1)</f>
        <v>1063.7626350911944</v>
      </c>
      <c r="X24" s="170">
        <f>+X25*INDEX(Main!$K$22:$N$22,X$2-YEAR(Main!$H$2)+1)</f>
        <v>1080.0482777718394</v>
      </c>
      <c r="Y24" s="170">
        <f>+Y25*INDEX(Main!$K$22:$N$22,Y$2-YEAR(Main!$H$2)+1)</f>
        <v>1263.2499116853396</v>
      </c>
      <c r="Z24" s="170">
        <f>+Z25*INDEX(Main!$K$22:$N$22,Z$2-YEAR(Main!$H$2)+1)</f>
        <v>1446.7046871921191</v>
      </c>
      <c r="AA24" s="170">
        <f>+AA25*INDEX(Main!$K$22:$N$22,AA$2-YEAR(Main!$H$2)+1)</f>
        <v>1630.4164797559326</v>
      </c>
      <c r="AB24" s="170">
        <f>+AB25*INDEX(Main!$K$22:$N$22,AB$2-YEAR(Main!$H$2)+1)</f>
        <v>1647.7225575051662</v>
      </c>
      <c r="AC24" s="170">
        <f>+AC25*INDEX(Main!$K$22:$N$22,AC$2-YEAR(Main!$H$2)+1)</f>
        <v>1672.948317391033</v>
      </c>
      <c r="AD24" s="170">
        <f>+AD25*INDEX(Main!$K$22:$N$22,AD$2-YEAR(Main!$H$2)+1)</f>
        <v>1698.5602703037059</v>
      </c>
      <c r="AE24" s="170">
        <f>+AE25*INDEX(Main!$K$22:$N$22,AE$2-YEAR(Main!$H$2)+1)</f>
        <v>1724.5643286539359</v>
      </c>
      <c r="AF24" s="170">
        <f>+AF25*INDEX(Main!$K$22:$N$22,AF$2-YEAR(Main!$H$2)+1)</f>
        <v>1750.9664953683521</v>
      </c>
      <c r="AG24" s="170">
        <f>+AG25*INDEX(Main!$K$22:$N$22,AG$2-YEAR(Main!$H$2)+1)</f>
        <v>1777.7728652752116</v>
      </c>
      <c r="AH24" s="170">
        <f>+AH25*INDEX(Main!$K$22:$N$22,AH$2-YEAR(Main!$H$2)+1)</f>
        <v>1804.989626511365</v>
      </c>
      <c r="AI24" s="170">
        <f>+AI25*INDEX(Main!$K$22:$N$22,AI$2-YEAR(Main!$H$2)+1)</f>
        <v>1832.6230619507617</v>
      </c>
      <c r="AJ24" s="170">
        <f>+AJ25*INDEX(Main!$K$22:$N$22,AJ$2-YEAR(Main!$H$2)+1)</f>
        <v>1860.679550654824</v>
      </c>
      <c r="AK24" s="170">
        <f>+AK25*INDEX(Main!$K$22:$N$22,AK$2-YEAR(Main!$H$2)+1)</f>
        <v>1889.1655693450271</v>
      </c>
      <c r="AL24" s="170">
        <f>+AL25*INDEX(Main!$K$22:$N$22,AL$2-YEAR(Main!$H$2)+1)</f>
        <v>1918.0876938980227</v>
      </c>
      <c r="AM24" s="170">
        <f>+AM25*INDEX(Main!$K$22:$N$22,AM$2-YEAR(Main!$H$2)+1)</f>
        <v>1947.4526008636519</v>
      </c>
      <c r="AN24" s="170">
        <f>+AN25*INDEX(Main!$K$22:$N$22,AN$2-YEAR(Main!$H$2)+1)</f>
        <v>2143.9337356728656</v>
      </c>
      <c r="AO24" s="170">
        <f>+AO25*INDEX(Main!$K$22:$N$22,AO$2-YEAR(Main!$H$2)+1)</f>
        <v>2340.8713142025726</v>
      </c>
      <c r="AP24" s="170">
        <f>+AP25*INDEX(Main!$K$22:$N$22,AP$2-YEAR(Main!$H$2)+1)</f>
        <v>2538.2723243644468</v>
      </c>
      <c r="AQ24" s="170">
        <f>+AQ25*INDEX(Main!$K$22:$N$22,AQ$2-YEAR(Main!$H$2)+1)</f>
        <v>2736.1438610513892</v>
      </c>
      <c r="AR24" s="170">
        <f>+AR25*INDEX(Main!$K$22:$N$22,AR$2-YEAR(Main!$H$2)+1)</f>
        <v>2942.1478630252213</v>
      </c>
      <c r="AS24" s="170">
        <f>+AS25*INDEX(Main!$K$22:$N$22,AS$2-YEAR(Main!$H$2)+1)</f>
        <v>3148.754098773476</v>
      </c>
      <c r="AT24" s="170">
        <f>+AT25*INDEX(Main!$K$22:$N$22,AT$2-YEAR(Main!$H$2)+1)</f>
        <v>3522.6384548430242</v>
      </c>
      <c r="AU24" s="170">
        <f>+AU25*INDEX(Main!$K$22:$N$22,AU$2-YEAR(Main!$H$2)+1)</f>
        <v>3904.7983608487516</v>
      </c>
      <c r="AV24" s="170">
        <f>+AV25*INDEX(Main!$K$22:$N$22,AV$2-YEAR(Main!$H$2)+1)</f>
        <v>4287.70577582841</v>
      </c>
      <c r="AW24" s="170">
        <f>+AW25*INDEX(Main!$K$22:$N$22,AW$2-YEAR(Main!$H$2)+1)</f>
        <v>4671.3721437485847</v>
      </c>
      <c r="AX24" s="170">
        <f>+AX25*INDEX(Main!$K$22:$N$22,AX$2-YEAR(Main!$H$2)+1)</f>
        <v>5071.1185542766598</v>
      </c>
      <c r="AY24" s="170">
        <f>+AY25*INDEX(Main!$K$22:$N$22,AY$2-YEAR(Main!$H$2)+1)</f>
        <v>5471.881713850843</v>
      </c>
      <c r="AZ24" s="170">
        <f>+AZ25*INDEX(Main!$K$22:$N$22,AZ$2-YEAR(Main!$H$2)+1)</f>
        <v>6040.3438550273295</v>
      </c>
      <c r="BA24" s="170">
        <f>+BA25*INDEX(Main!$K$22:$N$22,BA$2-YEAR(Main!$H$2)+1)</f>
        <v>6625.163585834237</v>
      </c>
      <c r="BB24" s="170">
        <f>+BB25*INDEX(Main!$K$22:$N$22,BB$2-YEAR(Main!$H$2)+1)</f>
        <v>7211.2818618077281</v>
      </c>
    </row>
    <row r="25" spans="1:54" s="180" customFormat="1" x14ac:dyDescent="0.15">
      <c r="A25" s="181" t="s">
        <v>163</v>
      </c>
      <c r="B25" s="244"/>
      <c r="C25" s="171">
        <f t="shared" si="12"/>
        <v>2523.0813956930879</v>
      </c>
      <c r="D25" s="171">
        <f t="shared" si="12"/>
        <v>15145.246203088254</v>
      </c>
      <c r="E25" s="171">
        <f t="shared" si="12"/>
        <v>23529.379166761039</v>
      </c>
      <c r="F25" s="171">
        <f t="shared" si="12"/>
        <v>55633.350128915656</v>
      </c>
      <c r="G25" s="180">
        <f>+G22+G23</f>
        <v>0</v>
      </c>
      <c r="H25" s="180">
        <f t="shared" ref="H25:BB25" si="13">+H22+H23</f>
        <v>0</v>
      </c>
      <c r="I25" s="180">
        <f t="shared" si="13"/>
        <v>0</v>
      </c>
      <c r="J25" s="180">
        <f t="shared" si="13"/>
        <v>0</v>
      </c>
      <c r="K25" s="180">
        <f t="shared" si="13"/>
        <v>0</v>
      </c>
      <c r="L25" s="180">
        <f t="shared" si="13"/>
        <v>0</v>
      </c>
      <c r="M25" s="180">
        <f t="shared" si="13"/>
        <v>166.66666666666666</v>
      </c>
      <c r="N25" s="180">
        <f t="shared" si="13"/>
        <v>333.33333333333331</v>
      </c>
      <c r="O25" s="180">
        <f t="shared" si="13"/>
        <v>500</v>
      </c>
      <c r="P25" s="180">
        <f t="shared" si="13"/>
        <v>500</v>
      </c>
      <c r="Q25" s="180">
        <f t="shared" si="13"/>
        <v>507.65473524986561</v>
      </c>
      <c r="R25" s="180">
        <f t="shared" si="13"/>
        <v>515.42666044322232</v>
      </c>
      <c r="S25" s="180">
        <f t="shared" si="13"/>
        <v>689.98423636271946</v>
      </c>
      <c r="T25" s="180">
        <f t="shared" si="13"/>
        <v>864.66261792463888</v>
      </c>
      <c r="U25" s="180">
        <f t="shared" si="13"/>
        <v>1039.4636545993994</v>
      </c>
      <c r="V25" s="180">
        <f t="shared" si="13"/>
        <v>1047.7225575051662</v>
      </c>
      <c r="W25" s="180">
        <f t="shared" si="13"/>
        <v>1063.7626350911944</v>
      </c>
      <c r="X25" s="180">
        <f t="shared" si="13"/>
        <v>1080.0482777718394</v>
      </c>
      <c r="Y25" s="180">
        <f t="shared" si="13"/>
        <v>1263.2499116853396</v>
      </c>
      <c r="Z25" s="180">
        <f t="shared" si="13"/>
        <v>1446.7046871921191</v>
      </c>
      <c r="AA25" s="180">
        <f t="shared" si="13"/>
        <v>1630.4164797559326</v>
      </c>
      <c r="AB25" s="180">
        <f t="shared" si="13"/>
        <v>1647.7225575051662</v>
      </c>
      <c r="AC25" s="180">
        <f t="shared" si="13"/>
        <v>1672.948317391033</v>
      </c>
      <c r="AD25" s="180">
        <f t="shared" si="13"/>
        <v>1698.5602703037059</v>
      </c>
      <c r="AE25" s="180">
        <f t="shared" si="13"/>
        <v>1724.5643286539359</v>
      </c>
      <c r="AF25" s="180">
        <f t="shared" si="13"/>
        <v>1750.9664953683521</v>
      </c>
      <c r="AG25" s="180">
        <f t="shared" si="13"/>
        <v>1777.7728652752116</v>
      </c>
      <c r="AH25" s="180">
        <f t="shared" si="13"/>
        <v>1804.989626511365</v>
      </c>
      <c r="AI25" s="180">
        <f t="shared" si="13"/>
        <v>1832.6230619507617</v>
      </c>
      <c r="AJ25" s="180">
        <f t="shared" si="13"/>
        <v>1860.679550654824</v>
      </c>
      <c r="AK25" s="180">
        <f t="shared" si="13"/>
        <v>1889.1655693450271</v>
      </c>
      <c r="AL25" s="180">
        <f t="shared" si="13"/>
        <v>1918.0876938980227</v>
      </c>
      <c r="AM25" s="180">
        <f t="shared" si="13"/>
        <v>1947.4526008636519</v>
      </c>
      <c r="AN25" s="180">
        <f t="shared" si="13"/>
        <v>2143.9337356728656</v>
      </c>
      <c r="AO25" s="180">
        <f t="shared" si="13"/>
        <v>2340.8713142025726</v>
      </c>
      <c r="AP25" s="180">
        <f t="shared" si="13"/>
        <v>2538.2723243644468</v>
      </c>
      <c r="AQ25" s="180">
        <f t="shared" si="13"/>
        <v>2736.1438610513892</v>
      </c>
      <c r="AR25" s="180">
        <f t="shared" si="13"/>
        <v>2942.1478630252213</v>
      </c>
      <c r="AS25" s="180">
        <f t="shared" si="13"/>
        <v>3148.754098773476</v>
      </c>
      <c r="AT25" s="180">
        <f t="shared" si="13"/>
        <v>3522.6384548430242</v>
      </c>
      <c r="AU25" s="180">
        <f t="shared" si="13"/>
        <v>3904.7983608487516</v>
      </c>
      <c r="AV25" s="180">
        <f t="shared" si="13"/>
        <v>4287.70577582841</v>
      </c>
      <c r="AW25" s="180">
        <f t="shared" si="13"/>
        <v>4671.3721437485847</v>
      </c>
      <c r="AX25" s="180">
        <f t="shared" si="13"/>
        <v>5071.1185542766598</v>
      </c>
      <c r="AY25" s="180">
        <f t="shared" si="13"/>
        <v>5471.881713850843</v>
      </c>
      <c r="AZ25" s="180">
        <f t="shared" si="13"/>
        <v>6040.3438550273295</v>
      </c>
      <c r="BA25" s="180">
        <f t="shared" si="13"/>
        <v>6625.163585834237</v>
      </c>
      <c r="BB25" s="180">
        <f t="shared" si="13"/>
        <v>7211.2818618077281</v>
      </c>
    </row>
    <row r="26" spans="1:54" s="203" customFormat="1" x14ac:dyDescent="0.15">
      <c r="A26" s="200" t="s">
        <v>162</v>
      </c>
      <c r="B26" s="245"/>
      <c r="C26" s="226">
        <f t="shared" ref="C26:F26" si="14">IFERROR(C24/C25,0)</f>
        <v>1</v>
      </c>
      <c r="D26" s="203">
        <f t="shared" si="14"/>
        <v>1</v>
      </c>
      <c r="E26" s="203">
        <f t="shared" si="14"/>
        <v>1</v>
      </c>
      <c r="F26" s="203">
        <f t="shared" si="14"/>
        <v>1</v>
      </c>
      <c r="G26" s="203">
        <f t="shared" ref="G26:BB26" si="15">IFERROR(G24/G25,0)</f>
        <v>0</v>
      </c>
      <c r="H26" s="203">
        <f t="shared" si="15"/>
        <v>0</v>
      </c>
      <c r="I26" s="203">
        <f t="shared" si="15"/>
        <v>0</v>
      </c>
      <c r="J26" s="203">
        <f t="shared" si="15"/>
        <v>0</v>
      </c>
      <c r="K26" s="203">
        <f t="shared" si="15"/>
        <v>0</v>
      </c>
      <c r="L26" s="203">
        <f t="shared" si="15"/>
        <v>0</v>
      </c>
      <c r="M26" s="203">
        <f t="shared" si="15"/>
        <v>1</v>
      </c>
      <c r="N26" s="203">
        <f t="shared" si="15"/>
        <v>1</v>
      </c>
      <c r="O26" s="203">
        <f t="shared" si="15"/>
        <v>1</v>
      </c>
      <c r="P26" s="203">
        <f t="shared" si="15"/>
        <v>1</v>
      </c>
      <c r="Q26" s="203">
        <f t="shared" si="15"/>
        <v>1</v>
      </c>
      <c r="R26" s="203">
        <f t="shared" si="15"/>
        <v>1</v>
      </c>
      <c r="S26" s="203">
        <f t="shared" si="15"/>
        <v>1</v>
      </c>
      <c r="T26" s="203">
        <f t="shared" si="15"/>
        <v>1</v>
      </c>
      <c r="U26" s="203">
        <f t="shared" si="15"/>
        <v>1</v>
      </c>
      <c r="V26" s="203">
        <f t="shared" si="15"/>
        <v>1</v>
      </c>
      <c r="W26" s="203">
        <f t="shared" si="15"/>
        <v>1</v>
      </c>
      <c r="X26" s="203">
        <f t="shared" si="15"/>
        <v>1</v>
      </c>
      <c r="Y26" s="203">
        <f t="shared" si="15"/>
        <v>1</v>
      </c>
      <c r="Z26" s="203">
        <f t="shared" si="15"/>
        <v>1</v>
      </c>
      <c r="AA26" s="203">
        <f t="shared" si="15"/>
        <v>1</v>
      </c>
      <c r="AB26" s="203">
        <f t="shared" si="15"/>
        <v>1</v>
      </c>
      <c r="AC26" s="203">
        <f t="shared" si="15"/>
        <v>1</v>
      </c>
      <c r="AD26" s="203">
        <f t="shared" si="15"/>
        <v>1</v>
      </c>
      <c r="AE26" s="203">
        <f t="shared" si="15"/>
        <v>1</v>
      </c>
      <c r="AF26" s="203">
        <f t="shared" si="15"/>
        <v>1</v>
      </c>
      <c r="AG26" s="203">
        <f t="shared" si="15"/>
        <v>1</v>
      </c>
      <c r="AH26" s="203">
        <f t="shared" si="15"/>
        <v>1</v>
      </c>
      <c r="AI26" s="203">
        <f t="shared" si="15"/>
        <v>1</v>
      </c>
      <c r="AJ26" s="203">
        <f t="shared" si="15"/>
        <v>1</v>
      </c>
      <c r="AK26" s="203">
        <f t="shared" si="15"/>
        <v>1</v>
      </c>
      <c r="AL26" s="203">
        <f t="shared" si="15"/>
        <v>1</v>
      </c>
      <c r="AM26" s="203">
        <f t="shared" si="15"/>
        <v>1</v>
      </c>
      <c r="AN26" s="203">
        <f t="shared" si="15"/>
        <v>1</v>
      </c>
      <c r="AO26" s="203">
        <f t="shared" si="15"/>
        <v>1</v>
      </c>
      <c r="AP26" s="203">
        <f t="shared" si="15"/>
        <v>1</v>
      </c>
      <c r="AQ26" s="203">
        <f t="shared" si="15"/>
        <v>1</v>
      </c>
      <c r="AR26" s="203">
        <f t="shared" si="15"/>
        <v>1</v>
      </c>
      <c r="AS26" s="203">
        <f t="shared" si="15"/>
        <v>1</v>
      </c>
      <c r="AT26" s="203">
        <f t="shared" si="15"/>
        <v>1</v>
      </c>
      <c r="AU26" s="203">
        <f t="shared" si="15"/>
        <v>1</v>
      </c>
      <c r="AV26" s="203">
        <f t="shared" si="15"/>
        <v>1</v>
      </c>
      <c r="AW26" s="203">
        <f t="shared" si="15"/>
        <v>1</v>
      </c>
      <c r="AX26" s="203">
        <f t="shared" si="15"/>
        <v>1</v>
      </c>
      <c r="AY26" s="203">
        <f t="shared" si="15"/>
        <v>1</v>
      </c>
      <c r="AZ26" s="203">
        <f t="shared" si="15"/>
        <v>1</v>
      </c>
      <c r="BA26" s="203">
        <f t="shared" si="15"/>
        <v>1</v>
      </c>
      <c r="BB26" s="203">
        <f t="shared" si="15"/>
        <v>1</v>
      </c>
    </row>
    <row r="27" spans="1:54" s="170" customFormat="1" x14ac:dyDescent="0.15">
      <c r="B27" s="243"/>
      <c r="C27" s="230"/>
    </row>
    <row r="28" spans="1:54" s="182" customFormat="1" ht="16" x14ac:dyDescent="0.2">
      <c r="A28" s="182" t="s">
        <v>174</v>
      </c>
      <c r="B28" s="247"/>
      <c r="C28" s="232"/>
    </row>
    <row r="29" spans="1:54" s="196" customFormat="1" x14ac:dyDescent="0.15">
      <c r="A29" s="196" t="s">
        <v>73</v>
      </c>
      <c r="B29" s="246"/>
      <c r="C29" s="231"/>
    </row>
    <row r="30" spans="1:54" s="170" customFormat="1" x14ac:dyDescent="0.15">
      <c r="A30" s="170" t="s">
        <v>169</v>
      </c>
      <c r="B30" s="243"/>
      <c r="C30" s="230">
        <f t="shared" ref="C30:F30" si="16">SUMIFS($G30:$BB30,$G$2:$BB$2,C$3)</f>
        <v>8134.3794664430216</v>
      </c>
      <c r="D30" s="170">
        <f t="shared" si="16"/>
        <v>101645.58836537333</v>
      </c>
      <c r="E30" s="170">
        <f t="shared" si="16"/>
        <v>275575.08748992259</v>
      </c>
      <c r="F30" s="170">
        <f t="shared" si="16"/>
        <v>836200.02205263451</v>
      </c>
      <c r="G30" s="170">
        <f t="shared" ref="G30:BB30" si="17">G9+G15+G25+G39</f>
        <v>100</v>
      </c>
      <c r="H30" s="170">
        <f t="shared" si="17"/>
        <v>150</v>
      </c>
      <c r="I30" s="170">
        <f t="shared" si="17"/>
        <v>175</v>
      </c>
      <c r="J30" s="170">
        <f t="shared" si="17"/>
        <v>220.83333333333334</v>
      </c>
      <c r="K30" s="170">
        <f t="shared" si="17"/>
        <v>243.75000000000003</v>
      </c>
      <c r="L30" s="170">
        <f t="shared" si="17"/>
        <v>255.20833333333337</v>
      </c>
      <c r="M30" s="170">
        <f t="shared" si="17"/>
        <v>560.93750000000011</v>
      </c>
      <c r="N30" s="170">
        <f t="shared" si="17"/>
        <v>880.46875</v>
      </c>
      <c r="O30" s="170">
        <f t="shared" si="17"/>
        <v>1206.9010416666667</v>
      </c>
      <c r="P30" s="170">
        <f t="shared" si="17"/>
        <v>1370.1171875</v>
      </c>
      <c r="Q30" s="170">
        <f t="shared" si="17"/>
        <v>1459.3799956665323</v>
      </c>
      <c r="R30" s="170">
        <f t="shared" si="17"/>
        <v>1511.7833249431553</v>
      </c>
      <c r="S30" s="170">
        <f t="shared" si="17"/>
        <v>3821.7612308252019</v>
      </c>
      <c r="T30" s="170">
        <f t="shared" si="17"/>
        <v>5521.0250302692712</v>
      </c>
      <c r="U30" s="170">
        <f t="shared" si="17"/>
        <v>6817.340174577118</v>
      </c>
      <c r="V30" s="170">
        <f t="shared" si="17"/>
        <v>7681.1670727260635</v>
      </c>
      <c r="W30" s="170">
        <f t="shared" si="17"/>
        <v>8267.3329030903951</v>
      </c>
      <c r="X30" s="170">
        <f t="shared" si="17"/>
        <v>8670.4879938115009</v>
      </c>
      <c r="Y30" s="170">
        <f t="shared" si="17"/>
        <v>9119.7719876009305</v>
      </c>
      <c r="Z30" s="170">
        <f t="shared" si="17"/>
        <v>9599.7541990087338</v>
      </c>
      <c r="AA30" s="170">
        <f t="shared" si="17"/>
        <v>10100.254251101696</v>
      </c>
      <c r="AB30" s="170">
        <f t="shared" si="17"/>
        <v>10447.890363232287</v>
      </c>
      <c r="AC30" s="170">
        <f t="shared" si="17"/>
        <v>10702.555957124343</v>
      </c>
      <c r="AD30" s="170">
        <f t="shared" si="17"/>
        <v>10896.247202005772</v>
      </c>
      <c r="AE30" s="170">
        <f t="shared" si="17"/>
        <v>14609.862314098093</v>
      </c>
      <c r="AF30" s="170">
        <f t="shared" si="17"/>
        <v>17310.067361518977</v>
      </c>
      <c r="AG30" s="170">
        <f t="shared" si="17"/>
        <v>19281.021365568879</v>
      </c>
      <c r="AH30" s="170">
        <f t="shared" si="17"/>
        <v>20727.325009720957</v>
      </c>
      <c r="AI30" s="170">
        <f t="shared" si="17"/>
        <v>21796.297068949851</v>
      </c>
      <c r="AJ30" s="170">
        <f t="shared" si="17"/>
        <v>22594.013440298717</v>
      </c>
      <c r="AK30" s="170">
        <f t="shared" si="17"/>
        <v>23916.855246360101</v>
      </c>
      <c r="AL30" s="170">
        <f t="shared" si="17"/>
        <v>24898.223471277295</v>
      </c>
      <c r="AM30" s="170">
        <f t="shared" si="17"/>
        <v>25634.173500183304</v>
      </c>
      <c r="AN30" s="170">
        <f t="shared" si="17"/>
        <v>27080.538655804845</v>
      </c>
      <c r="AO30" s="170">
        <f t="shared" si="17"/>
        <v>28318.859146382059</v>
      </c>
      <c r="AP30" s="170">
        <f t="shared" si="17"/>
        <v>29407.850909759527</v>
      </c>
      <c r="AQ30" s="170">
        <f t="shared" si="17"/>
        <v>40252.838999235246</v>
      </c>
      <c r="AR30" s="170">
        <f t="shared" si="17"/>
        <v>48917.933711000136</v>
      </c>
      <c r="AS30" s="170">
        <f t="shared" si="17"/>
        <v>55883.31382192501</v>
      </c>
      <c r="AT30" s="170">
        <f t="shared" si="17"/>
        <v>61690.194664515962</v>
      </c>
      <c r="AU30" s="170">
        <f t="shared" si="17"/>
        <v>66601.721627742634</v>
      </c>
      <c r="AV30" s="170">
        <f t="shared" si="17"/>
        <v>70815.620074039092</v>
      </c>
      <c r="AW30" s="170">
        <f t="shared" si="17"/>
        <v>74486.127230070502</v>
      </c>
      <c r="AX30" s="170">
        <f t="shared" si="17"/>
        <v>77748.869222303081</v>
      </c>
      <c r="AY30" s="170">
        <f t="shared" si="17"/>
        <v>80694.571135818667</v>
      </c>
      <c r="AZ30" s="170">
        <f t="shared" si="17"/>
        <v>83560.680769537314</v>
      </c>
      <c r="BA30" s="170">
        <f t="shared" si="17"/>
        <v>86381.066014644777</v>
      </c>
      <c r="BB30" s="170">
        <f t="shared" si="17"/>
        <v>89167.084781802085</v>
      </c>
    </row>
    <row r="31" spans="1:54" s="180" customFormat="1" x14ac:dyDescent="0.15">
      <c r="A31" s="180" t="s">
        <v>184</v>
      </c>
      <c r="B31" s="244"/>
      <c r="C31" s="236">
        <f>SUMIFS($G31:$BB31,$G$3:$BB$3,DATE(C$3,12,31))</f>
        <v>7934.2031947207806</v>
      </c>
      <c r="D31" s="180">
        <f t="shared" ref="D31:F31" si="18">SUMIFS($G31:$BB31,$G$3:$BB$3,DATE(D$3,12,31))</f>
        <v>104732.72337884321</v>
      </c>
      <c r="E31" s="180">
        <f t="shared" si="18"/>
        <v>358433.04949604248</v>
      </c>
      <c r="F31" s="180">
        <f t="shared" si="18"/>
        <v>1124747.7789168803</v>
      </c>
      <c r="G31" s="180">
        <f>G30</f>
        <v>100</v>
      </c>
      <c r="H31" s="180">
        <f>G31*(1+INDEX(Main!$C$39:$F$39,MATCH(Sales!G$2,Main!$C$38:$F$38,0)))^(1/12)+H30</f>
        <v>249.12583890453033</v>
      </c>
      <c r="I31" s="180">
        <f>H31*(1+INDEX(Main!$C$39:$F$39,MATCH(Sales!H$2,Main!$C$38:$F$38,0)))^(1/12)+I30</f>
        <v>421.94807774206447</v>
      </c>
      <c r="J31" s="180">
        <f>I31*(1+INDEX(Main!$C$39:$F$39,MATCH(Sales!I$2,Main!$C$38:$F$38,0)))^(1/12)+J30</f>
        <v>639.09290513669453</v>
      </c>
      <c r="K31" s="180">
        <f>J31*(1+INDEX(Main!$C$39:$F$39,MATCH(Sales!J$2,Main!$C$38:$F$38,0)))^(1/12)+K30</f>
        <v>877.25620359608263</v>
      </c>
      <c r="L31" s="180">
        <f>K31*(1+INDEX(Main!$C$39:$F$39,MATCH(Sales!K$2,Main!$C$38:$F$38,0)))^(1/12)+L30</f>
        <v>1124.7959044899849</v>
      </c>
      <c r="M31" s="180">
        <f>L31*(1+INDEX(Main!$C$39:$F$39,MATCH(Sales!L$2,Main!$C$38:$F$38,0)))^(1/12)+M30</f>
        <v>1675.9008762894973</v>
      </c>
      <c r="N31" s="180">
        <f>M31*(1+INDEX(Main!$C$39:$F$39,MATCH(Sales!M$2,Main!$C$38:$F$38,0)))^(1/12)+N30</f>
        <v>2541.7195528303391</v>
      </c>
      <c r="O31" s="180">
        <f>N31*(1+INDEX(Main!$C$39:$F$39,MATCH(Sales!N$2,Main!$C$38:$F$38,0)))^(1/12)+O30</f>
        <v>3726.4018710102173</v>
      </c>
      <c r="P31" s="180">
        <f>O31*(1+INDEX(Main!$C$39:$F$39,MATCH(Sales!O$2,Main!$C$38:$F$38,0)))^(1/12)+P30</f>
        <v>5063.9443030929924</v>
      </c>
      <c r="Q31" s="180">
        <f>P31*(1+INDEX(Main!$C$39:$F$39,MATCH(Sales!P$2,Main!$C$38:$F$38,0)))^(1/12)+Q30</f>
        <v>6479.0572677656328</v>
      </c>
      <c r="R31" s="180">
        <f>Q31*(1+INDEX(Main!$C$39:$F$39,MATCH(Sales!Q$2,Main!$C$38:$F$38,0)))^(1/12)+R30</f>
        <v>7934.2031947207806</v>
      </c>
      <c r="S31" s="180">
        <f>R31*(1+INDEX(Main!$C$39:$F$39,MATCH(Sales!R$2,Main!$C$38:$F$38,0)))^(1/12)+S30</f>
        <v>11686.606707982221</v>
      </c>
      <c r="T31" s="180">
        <f>S31*(1+INDEX(Main!$C$39:$F$39,MATCH(Sales!S$2,Main!$C$38:$F$38,0)))^(1/12)+T30</f>
        <v>17105.471969029764</v>
      </c>
      <c r="U31" s="180">
        <f>T31*(1+INDEX(Main!$C$39:$F$39,MATCH(Sales!T$2,Main!$C$38:$F$38,0)))^(1/12)+U30</f>
        <v>23773.282762457155</v>
      </c>
      <c r="V31" s="180">
        <f>U31*(1+INDEX(Main!$C$39:$F$39,MATCH(Sales!U$2,Main!$C$38:$F$38,0)))^(1/12)+V30</f>
        <v>31246.633046157822</v>
      </c>
      <c r="W31" s="180">
        <f>V31*(1+INDEX(Main!$C$39:$F$39,MATCH(Sales!V$2,Main!$C$38:$F$38,0)))^(1/12)+W30</f>
        <v>39240.82003951454</v>
      </c>
      <c r="X31" s="180">
        <f>W31*(1+INDEX(Main!$C$39:$F$39,MATCH(Sales!W$2,Main!$C$38:$F$38,0)))^(1/12)+X30</f>
        <v>47568.280050997331</v>
      </c>
      <c r="Y31" s="180">
        <f>X31*(1+INDEX(Main!$C$39:$F$39,MATCH(Sales!X$2,Main!$C$38:$F$38,0)))^(1/12)+Y30</f>
        <v>56272.22864060838</v>
      </c>
      <c r="Z31" s="180">
        <f>Y31*(1+INDEX(Main!$C$39:$F$39,MATCH(Sales!Y$2,Main!$C$38:$F$38,0)))^(1/12)+Z30</f>
        <v>65380.072909287177</v>
      </c>
      <c r="AA31" s="180">
        <f>Z31*(1+INDEX(Main!$C$39:$F$39,MATCH(Sales!Z$2,Main!$C$38:$F$38,0)))^(1/12)+AA30</f>
        <v>74908.799998826187</v>
      </c>
      <c r="AB31" s="180">
        <f>AA31*(1+INDEX(Main!$C$39:$F$39,MATCH(Sales!AA$2,Main!$C$38:$F$38,0)))^(1/12)+AB30</f>
        <v>84701.866775385555</v>
      </c>
      <c r="AC31" s="180">
        <f>AB31*(1+INDEX(Main!$C$39:$F$39,MATCH(Sales!AB$2,Main!$C$38:$F$38,0)))^(1/12)+AC30</f>
        <v>94663.991966022935</v>
      </c>
      <c r="AD31" s="180">
        <f>AC31*(1+INDEX(Main!$C$39:$F$39,MATCH(Sales!AC$2,Main!$C$38:$F$38,0)))^(1/12)+AD30</f>
        <v>104732.72337884321</v>
      </c>
      <c r="AE31" s="180">
        <f>AD31*(1+INDEX(Main!$C$39:$F$39,MATCH(Sales!AD$2,Main!$C$38:$F$38,0)))^(1/12)+AE30</f>
        <v>118427.05297093758</v>
      </c>
      <c r="AF31" s="180">
        <f>AE31*(1+INDEX(Main!$C$39:$F$39,MATCH(Sales!AE$2,Main!$C$38:$F$38,0)))^(1/12)+AF30</f>
        <v>134701.87710887336</v>
      </c>
      <c r="AG31" s="180">
        <f>AF31*(1+INDEX(Main!$C$39:$F$39,MATCH(Sales!AF$2,Main!$C$38:$F$38,0)))^(1/12)+AG30</f>
        <v>152805.38706988911</v>
      </c>
      <c r="AH31" s="180">
        <f>AG31*(1+INDEX(Main!$C$39:$F$39,MATCH(Sales!AG$2,Main!$C$38:$F$38,0)))^(1/12)+AH30</f>
        <v>172196.94683406324</v>
      </c>
      <c r="AI31" s="180">
        <f>AH31*(1+INDEX(Main!$C$39:$F$39,MATCH(Sales!AH$2,Main!$C$38:$F$38,0)))^(1/12)+AI30</f>
        <v>192487.9651862031</v>
      </c>
      <c r="AJ31" s="180">
        <f>AI31*(1+INDEX(Main!$C$39:$F$39,MATCH(Sales!AI$2,Main!$C$38:$F$38,0)))^(1/12)+AJ30</f>
        <v>213399.32372138283</v>
      </c>
      <c r="AK31" s="180">
        <f>AJ31*(1+INDEX(Main!$C$39:$F$39,MATCH(Sales!AJ$2,Main!$C$38:$F$38,0)))^(1/12)+AK30</f>
        <v>235450.7251017752</v>
      </c>
      <c r="AL31" s="180">
        <f>AK31*(1+INDEX(Main!$C$39:$F$39,MATCH(Sales!AK$2,Main!$C$38:$F$38,0)))^(1/12)+AL30</f>
        <v>258290.72993521154</v>
      </c>
      <c r="AM31" s="180">
        <f>AL31*(1+INDEX(Main!$C$39:$F$39,MATCH(Sales!AL$2,Main!$C$38:$F$38,0)))^(1/12)+AM30</f>
        <v>281667.02636109659</v>
      </c>
      <c r="AN31" s="180">
        <f>AM31*(1+INDEX(Main!$C$39:$F$39,MATCH(Sales!AM$2,Main!$C$38:$F$38,0)))^(1/12)+AN30</f>
        <v>306285.34145368641</v>
      </c>
      <c r="AO31" s="180">
        <f>AN31*(1+INDEX(Main!$C$39:$F$39,MATCH(Sales!AN$2,Main!$C$38:$F$38,0)))^(1/12)+AO30</f>
        <v>331926.77330395393</v>
      </c>
      <c r="AP31" s="180">
        <f>AO31*(1+INDEX(Main!$C$39:$F$39,MATCH(Sales!AO$2,Main!$C$38:$F$38,0)))^(1/12)+AP30</f>
        <v>358433.04949604248</v>
      </c>
      <c r="AQ31" s="180">
        <f>AP31*(1+INDEX(Main!$C$39:$F$39,MATCH(Sales!AP$2,Main!$C$38:$F$38,0)))^(1/12)+AQ30</f>
        <v>395552.60622327775</v>
      </c>
      <c r="AR31" s="180">
        <f>AQ31*(1+INDEX(Main!$C$39:$F$39,MATCH(Sales!AQ$2,Main!$C$38:$F$38,0)))^(1/12)+AR30</f>
        <v>441012.77293855767</v>
      </c>
      <c r="AS31" s="180">
        <f>AR31*(1+INDEX(Main!$C$39:$F$39,MATCH(Sales!AR$2,Main!$C$38:$F$38,0)))^(1/12)+AS30</f>
        <v>493040.92467340181</v>
      </c>
      <c r="AT31" s="180">
        <f>AS31*(1+INDEX(Main!$C$39:$F$39,MATCH(Sales!AS$2,Main!$C$38:$F$38,0)))^(1/12)+AT30</f>
        <v>550421.14738967898</v>
      </c>
      <c r="AU31" s="180">
        <f>AT31*(1+INDEX(Main!$C$39:$F$39,MATCH(Sales!AT$2,Main!$C$38:$F$38,0)))^(1/12)+AU30</f>
        <v>612211.30148570321</v>
      </c>
      <c r="AV31" s="180">
        <f>AU31*(1+INDEX(Main!$C$39:$F$39,MATCH(Sales!AU$2,Main!$C$38:$F$38,0)))^(1/12)+AV30</f>
        <v>677675.2085400857</v>
      </c>
      <c r="AW31" s="180">
        <f>AV31*(1+INDEX(Main!$C$39:$F$39,MATCH(Sales!AV$2,Main!$C$38:$F$38,0)))^(1/12)+AW30</f>
        <v>746237.3627434558</v>
      </c>
      <c r="AX31" s="180">
        <f>AW31*(1+INDEX(Main!$C$39:$F$39,MATCH(Sales!AW$2,Main!$C$38:$F$38,0)))^(1/12)+AX30</f>
        <v>817462.91526079667</v>
      </c>
      <c r="AY31" s="180">
        <f>AX31*(1+INDEX(Main!$C$39:$F$39,MATCH(Sales!AX$2,Main!$C$38:$F$38,0)))^(1/12)+AY30</f>
        <v>891011.54362151329</v>
      </c>
      <c r="AZ31" s="180">
        <f>AY31*(1+INDEX(Main!$C$39:$F$39,MATCH(Sales!AY$2,Main!$C$38:$F$38,0)))^(1/12)+AZ30</f>
        <v>966783.34812056762</v>
      </c>
      <c r="BA31" s="180">
        <f>AZ31*(1+INDEX(Main!$C$39:$F$39,MATCH(Sales!AZ$2,Main!$C$38:$F$38,0)))^(1/12)+BA30</f>
        <v>1044713.1702284632</v>
      </c>
      <c r="BB31" s="180">
        <f>BA31*(1+INDEX(Main!$C$39:$F$39,MATCH(Sales!BA$2,Main!$C$38:$F$38,0)))^(1/12)+BB30</f>
        <v>1124747.7789168803</v>
      </c>
    </row>
    <row r="32" spans="1:54" s="224" customFormat="1" x14ac:dyDescent="0.15">
      <c r="B32" s="248"/>
      <c r="C32" s="233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</row>
    <row r="33" spans="1:71" s="196" customFormat="1" x14ac:dyDescent="0.15">
      <c r="A33" s="196" t="s">
        <v>183</v>
      </c>
      <c r="B33" s="246"/>
      <c r="C33" s="231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</row>
    <row r="34" spans="1:71" s="198" customFormat="1" x14ac:dyDescent="0.15">
      <c r="A34" s="198" t="s">
        <v>230</v>
      </c>
      <c r="B34" s="249"/>
      <c r="C34" s="230">
        <f ca="1">SUMIFS($H34:$BD34,$H$3:$BD$3,DATE(C$3,12,31))</f>
        <v>2081.7493455325484</v>
      </c>
      <c r="D34" s="170">
        <f t="shared" ref="D34:F34" ca="1" si="19">SUMIFS($H34:$BD34,$H$3:$BD$3,DATE(D$3,12,31))</f>
        <v>46206.854838415828</v>
      </c>
      <c r="E34" s="170">
        <f t="shared" ca="1" si="19"/>
        <v>208530.98936882638</v>
      </c>
      <c r="F34" s="170">
        <f t="shared" ca="1" si="19"/>
        <v>666212.94589346193</v>
      </c>
      <c r="G34" s="170">
        <v>0</v>
      </c>
      <c r="H34" s="170">
        <f ca="1">IFERROR(AVERAGE(OFFSET(H31,0,-MIN(COLUMNS($G$3:H$3)-1,12)):G31),0)</f>
        <v>100</v>
      </c>
      <c r="I34" s="170">
        <f ca="1">IFERROR(AVERAGE(OFFSET(I31,0,-MIN(COLUMNS($G$3:I$3)-1,12)):H31),0)</f>
        <v>174.56291945226516</v>
      </c>
      <c r="J34" s="170">
        <f ca="1">IFERROR(AVERAGE(OFFSET(J31,0,-MIN(COLUMNS($G$3:J$3)-1,12)):I31),0)</f>
        <v>257.0246388821983</v>
      </c>
      <c r="K34" s="170">
        <f ca="1">IFERROR(AVERAGE(OFFSET(K31,0,-MIN(COLUMNS($G$3:K$3)-1,12)):J31),0)</f>
        <v>352.54170544582234</v>
      </c>
      <c r="L34" s="170">
        <f ca="1">IFERROR(AVERAGE(OFFSET(L31,0,-MIN(COLUMNS($G$3:L$3)-1,12)):K31),0)</f>
        <v>457.48460507587441</v>
      </c>
      <c r="M34" s="170">
        <f ca="1">IFERROR(AVERAGE(OFFSET(M31,0,-MIN(COLUMNS($G$3:M$3)-1,12)):L31),0)</f>
        <v>568.70315497822617</v>
      </c>
      <c r="N34" s="170">
        <f ca="1">IFERROR(AVERAGE(OFFSET(N31,0,-MIN(COLUMNS($G$3:N$3)-1,12)):M31),0)</f>
        <v>726.87425802269354</v>
      </c>
      <c r="O34" s="170">
        <f ca="1">IFERROR(AVERAGE(OFFSET(O31,0,-MIN(COLUMNS($G$3:O$3)-1,12)):N31),0)</f>
        <v>953.72991987364924</v>
      </c>
      <c r="P34" s="170">
        <f ca="1">IFERROR(AVERAGE(OFFSET(P31,0,-MIN(COLUMNS($G$3:P$3)-1,12)):O31),0)</f>
        <v>1261.8045811110455</v>
      </c>
      <c r="Q34" s="170">
        <f ca="1">IFERROR(AVERAGE(OFFSET(Q31,0,-MIN(COLUMNS($G$3:Q$3)-1,12)):P31),0)</f>
        <v>1642.0185533092401</v>
      </c>
      <c r="R34" s="170">
        <f ca="1">IFERROR(AVERAGE(OFFSET(R31,0,-MIN(COLUMNS($G$3:R$3)-1,12)):Q31),0)</f>
        <v>2081.7493455325484</v>
      </c>
      <c r="S34" s="170">
        <f ca="1">IFERROR(AVERAGE(OFFSET(S31,0,-MIN(COLUMNS($G$3:S$3)-1,12)):R31),0)</f>
        <v>2569.4538329649008</v>
      </c>
      <c r="T34" s="170">
        <f ca="1">IFERROR(AVERAGE(OFFSET(T31,0,-MIN(COLUMNS($G$3:T$3)-1,12)):S31),0)</f>
        <v>3535.0043919634195</v>
      </c>
      <c r="U34" s="170">
        <f ca="1">IFERROR(AVERAGE(OFFSET(U31,0,-MIN(COLUMNS($G$3:U$3)-1,12)):T31),0)</f>
        <v>4939.6999028071887</v>
      </c>
      <c r="V34" s="170">
        <f ca="1">IFERROR(AVERAGE(OFFSET(V31,0,-MIN(COLUMNS($G$3:V$3)-1,12)):U31),0)</f>
        <v>6885.6444598667804</v>
      </c>
      <c r="W34" s="170">
        <f ca="1">IFERROR(AVERAGE(OFFSET(W31,0,-MIN(COLUMNS($G$3:W$3)-1,12)):V31),0)</f>
        <v>9436.2728049518737</v>
      </c>
      <c r="X34" s="170">
        <f ca="1">IFERROR(AVERAGE(OFFSET(X31,0,-MIN(COLUMNS($G$3:X$3)-1,12)):W31),0)</f>
        <v>12633.236457945079</v>
      </c>
      <c r="Y34" s="170">
        <f ca="1">IFERROR(AVERAGE(OFFSET(Y31,0,-MIN(COLUMNS($G$3:Y$3)-1,12)):X31),0)</f>
        <v>16503.526803487355</v>
      </c>
      <c r="Z34" s="170">
        <f ca="1">IFERROR(AVERAGE(OFFSET(Z31,0,-MIN(COLUMNS($G$3:Z$3)-1,12)):Y31),0)</f>
        <v>21053.220783847264</v>
      </c>
      <c r="AA34" s="170">
        <f ca="1">IFERROR(AVERAGE(OFFSET(AA31,0,-MIN(COLUMNS($G$3:AA$3)-1,12)):Z31),0)</f>
        <v>26289.750230218666</v>
      </c>
      <c r="AB34" s="170">
        <f ca="1">IFERROR(AVERAGE(OFFSET(AB31,0,-MIN(COLUMNS($G$3:AB$3)-1,12)):AA31),0)</f>
        <v>32221.616740869995</v>
      </c>
      <c r="AC34" s="170">
        <f ca="1">IFERROR(AVERAGE(OFFSET(AC31,0,-MIN(COLUMNS($G$3:AC$3)-1,12)):AB31),0)</f>
        <v>38858.110280227709</v>
      </c>
      <c r="AD34" s="170">
        <f ca="1">IFERROR(AVERAGE(OFFSET(AD31,0,-MIN(COLUMNS($G$3:AD$3)-1,12)):AC31),0)</f>
        <v>46206.854838415828</v>
      </c>
      <c r="AE34" s="170">
        <f ca="1">IFERROR(AVERAGE(OFFSET(AE31,0,-MIN(COLUMNS($G$3:AE$3)-1,12)):AD31),0)</f>
        <v>54273.39818709268</v>
      </c>
      <c r="AF34" s="170">
        <f ca="1">IFERROR(AVERAGE(OFFSET(AF31,0,-MIN(COLUMNS($G$3:AF$3)-1,12)):AE31),0)</f>
        <v>63168.435375672299</v>
      </c>
      <c r="AG34" s="170">
        <f ca="1">IFERROR(AVERAGE(OFFSET(AG31,0,-MIN(COLUMNS($G$3:AG$3)-1,12)):AF31),0)</f>
        <v>72968.135803992598</v>
      </c>
      <c r="AH34" s="170">
        <f ca="1">IFERROR(AVERAGE(OFFSET(AH31,0,-MIN(COLUMNS($G$3:AH$3)-1,12)):AG31),0)</f>
        <v>83720.811162945261</v>
      </c>
      <c r="AI34" s="170">
        <f ca="1">IFERROR(AVERAGE(OFFSET(AI31,0,-MIN(COLUMNS($G$3:AI$3)-1,12)):AH31),0)</f>
        <v>95466.670645270715</v>
      </c>
      <c r="AJ34" s="170">
        <f ca="1">IFERROR(AVERAGE(OFFSET(AJ31,0,-MIN(COLUMNS($G$3:AJ$3)-1,12)):AI31),0)</f>
        <v>108237.26607416144</v>
      </c>
      <c r="AK34" s="170">
        <f ca="1">IFERROR(AVERAGE(OFFSET(AK31,0,-MIN(COLUMNS($G$3:AK$3)-1,12)):AJ31),0)</f>
        <v>122056.51971336022</v>
      </c>
      <c r="AL34" s="170">
        <f ca="1">IFERROR(AVERAGE(OFFSET(AL31,0,-MIN(COLUMNS($G$3:AL$3)-1,12)):AK31),0)</f>
        <v>136988.06108512412</v>
      </c>
      <c r="AM34" s="170">
        <f ca="1">IFERROR(AVERAGE(OFFSET(AM31,0,-MIN(COLUMNS($G$3:AM$3)-1,12)):AL31),0)</f>
        <v>153063.94917061782</v>
      </c>
      <c r="AN34" s="170">
        <f ca="1">IFERROR(AVERAGE(OFFSET(AN31,0,-MIN(COLUMNS($G$3:AN$3)-1,12)):AM31),0)</f>
        <v>170293.8013674737</v>
      </c>
      <c r="AO34" s="170">
        <f ca="1">IFERROR(AVERAGE(OFFSET(AO31,0,-MIN(COLUMNS($G$3:AO$3)-1,12)):AN31),0)</f>
        <v>188759.09092399877</v>
      </c>
      <c r="AP34" s="170">
        <f ca="1">IFERROR(AVERAGE(OFFSET(AP31,0,-MIN(COLUMNS($G$3:AP$3)-1,12)):AO31),0)</f>
        <v>208530.98936882638</v>
      </c>
      <c r="AQ34" s="170">
        <f ca="1">IFERROR(AVERAGE(OFFSET(AQ31,0,-MIN(COLUMNS($G$3:AQ$3)-1,12)):AP31),0)</f>
        <v>229672.68321192628</v>
      </c>
      <c r="AR34" s="170">
        <f ca="1">IFERROR(AVERAGE(OFFSET(AR31,0,-MIN(COLUMNS($G$3:AR$3)-1,12)):AQ31),0)</f>
        <v>252766.47931628799</v>
      </c>
      <c r="AS34" s="170">
        <f ca="1">IFERROR(AVERAGE(OFFSET(AS31,0,-MIN(COLUMNS($G$3:AS$3)-1,12)):AR31),0)</f>
        <v>278292.38730209501</v>
      </c>
      <c r="AT34" s="170">
        <f ca="1">IFERROR(AVERAGE(OFFSET(AT31,0,-MIN(COLUMNS($G$3:AT$3)-1,12)):AS31),0)</f>
        <v>306645.34876905434</v>
      </c>
      <c r="AU34" s="170">
        <f ca="1">IFERROR(AVERAGE(OFFSET(AU31,0,-MIN(COLUMNS($G$3:AU$3)-1,12)):AT31),0)</f>
        <v>338164.03214868903</v>
      </c>
      <c r="AV34" s="170">
        <f ca="1">IFERROR(AVERAGE(OFFSET(AV31,0,-MIN(COLUMNS($G$3:AV$3)-1,12)):AU31),0)</f>
        <v>373140.97684031405</v>
      </c>
      <c r="AW34" s="170">
        <f ca="1">IFERROR(AVERAGE(OFFSET(AW31,0,-MIN(COLUMNS($G$3:AW$3)-1,12)):AV31),0)</f>
        <v>411830.63390853931</v>
      </c>
      <c r="AX34" s="170">
        <f ca="1">IFERROR(AVERAGE(OFFSET(AX31,0,-MIN(COLUMNS($G$3:AX$3)-1,12)):AW31),0)</f>
        <v>454396.18704534601</v>
      </c>
      <c r="AY34" s="170">
        <f ca="1">IFERROR(AVERAGE(OFFSET(AY31,0,-MIN(COLUMNS($G$3:AY$3)-1,12)):AX31),0)</f>
        <v>500993.86915581144</v>
      </c>
      <c r="AZ34" s="170">
        <f ca="1">IFERROR(AVERAGE(OFFSET(AZ31,0,-MIN(COLUMNS($G$3:AZ$3)-1,12)):AY31),0)</f>
        <v>551772.57892751286</v>
      </c>
      <c r="BA34" s="170">
        <f ca="1">IFERROR(AVERAGE(OFFSET(BA31,0,-MIN(COLUMNS($G$3:BA$3)-1,12)):AZ31),0)</f>
        <v>606814.07948308613</v>
      </c>
      <c r="BB34" s="170">
        <f ca="1">IFERROR(AVERAGE(OFFSET(BB31,0,-MIN(COLUMNS($G$3:BB$3)-1,12)):BA31),0)</f>
        <v>666212.94589346193</v>
      </c>
    </row>
    <row r="35" spans="1:71" s="199" customFormat="1" x14ac:dyDescent="0.15">
      <c r="A35" s="199" t="s">
        <v>185</v>
      </c>
      <c r="B35" s="250"/>
      <c r="C35" s="236">
        <f t="shared" ref="C35:F35" ca="1" si="20">SUMIFS($G35:$BB35,$G$2:$BB$2,C$3)</f>
        <v>178.6769517017409</v>
      </c>
      <c r="D35" s="180">
        <f t="shared" ca="1" si="20"/>
        <v>4606.9248234909601</v>
      </c>
      <c r="E35" s="180">
        <f t="shared" ca="1" si="20"/>
        <v>30365.148518302831</v>
      </c>
      <c r="F35" s="180">
        <f t="shared" ca="1" si="20"/>
        <v>103556.29587504426</v>
      </c>
      <c r="G35" s="180">
        <v>0</v>
      </c>
      <c r="H35" s="180">
        <f ca="1">H34*Main!$C$40/12</f>
        <v>2.0833333333333335</v>
      </c>
      <c r="I35" s="180">
        <f ca="1">I34*Main!$C$40/12</f>
        <v>3.6367274885888574</v>
      </c>
      <c r="J35" s="180">
        <f ca="1">J34*Main!$C$40/12</f>
        <v>5.3546799767124647</v>
      </c>
      <c r="K35" s="180">
        <f ca="1">K34*Main!$C$40/12</f>
        <v>7.3446188634546319</v>
      </c>
      <c r="L35" s="180">
        <f ca="1">L34*Main!$C$40/12</f>
        <v>9.5309292724140509</v>
      </c>
      <c r="M35" s="180">
        <f ca="1">M34*Main!$C$40/12</f>
        <v>11.847982395379711</v>
      </c>
      <c r="N35" s="180">
        <f ca="1">N34*Main!$C$40/12</f>
        <v>15.143213708806115</v>
      </c>
      <c r="O35" s="180">
        <f ca="1">O34*Main!$C$40/12</f>
        <v>19.869373330701027</v>
      </c>
      <c r="P35" s="180">
        <f ca="1">P34*Main!$C$40/12</f>
        <v>26.287595439813447</v>
      </c>
      <c r="Q35" s="180">
        <f ca="1">Q34*Main!$C$40/12</f>
        <v>34.208719860609172</v>
      </c>
      <c r="R35" s="180">
        <f ca="1">R34*Main!$C$40/12</f>
        <v>43.369778031928092</v>
      </c>
      <c r="S35" s="180">
        <f ca="1">S34*Main!$C$40/12</f>
        <v>53.530288186768765</v>
      </c>
      <c r="T35" s="180">
        <f ca="1">T34*Main!$C$40/12</f>
        <v>73.645924832571239</v>
      </c>
      <c r="U35" s="180">
        <f ca="1">U34*Main!$C$40/12</f>
        <v>102.91041464181643</v>
      </c>
      <c r="V35" s="180">
        <f ca="1">V34*Main!$C$40/12</f>
        <v>143.4509262472246</v>
      </c>
      <c r="W35" s="180">
        <f ca="1">W34*Main!$C$40/12</f>
        <v>196.58901676983069</v>
      </c>
      <c r="X35" s="180">
        <f ca="1">X34*Main!$C$40/12</f>
        <v>263.19242620718916</v>
      </c>
      <c r="Y35" s="180">
        <f ca="1">Y34*Main!$C$40/12</f>
        <v>343.82347507265325</v>
      </c>
      <c r="Z35" s="180">
        <f ca="1">Z34*Main!$C$40/12</f>
        <v>438.60876633015135</v>
      </c>
      <c r="AA35" s="180">
        <f ca="1">AA34*Main!$C$40/12</f>
        <v>547.70312979622224</v>
      </c>
      <c r="AB35" s="180">
        <f ca="1">AB34*Main!$C$40/12</f>
        <v>671.28368210145823</v>
      </c>
      <c r="AC35" s="180">
        <f ca="1">AC34*Main!$C$40/12</f>
        <v>809.54396417141061</v>
      </c>
      <c r="AD35" s="180">
        <f ca="1">AD34*Main!$C$40/12</f>
        <v>962.64280913366304</v>
      </c>
      <c r="AE35" s="180">
        <f ca="1">AE34*Main!$C$40/12</f>
        <v>1130.6957955644309</v>
      </c>
      <c r="AF35" s="180">
        <f ca="1">AF34*Main!$C$40/12</f>
        <v>1316.0090703265062</v>
      </c>
      <c r="AG35" s="180">
        <f ca="1">AG34*Main!$C$40/12</f>
        <v>1520.1694959165125</v>
      </c>
      <c r="AH35" s="180">
        <f ca="1">AH34*Main!$C$40/12</f>
        <v>1744.1835658946929</v>
      </c>
      <c r="AI35" s="180">
        <f ca="1">AI34*Main!$C$40/12</f>
        <v>1988.8889717764732</v>
      </c>
      <c r="AJ35" s="180">
        <f ca="1">AJ34*Main!$C$40/12</f>
        <v>2254.9430432116965</v>
      </c>
      <c r="AK35" s="180">
        <f ca="1">AK34*Main!$C$40/12</f>
        <v>2542.8441606950046</v>
      </c>
      <c r="AL35" s="180">
        <f ca="1">AL34*Main!$C$40/12</f>
        <v>2853.9179392734191</v>
      </c>
      <c r="AM35" s="180">
        <f ca="1">AM34*Main!$C$40/12</f>
        <v>3188.8322743878712</v>
      </c>
      <c r="AN35" s="180">
        <f ca="1">AN34*Main!$C$40/12</f>
        <v>3547.7875284890356</v>
      </c>
      <c r="AO35" s="180">
        <f ca="1">AO34*Main!$C$40/12</f>
        <v>3932.4810609166411</v>
      </c>
      <c r="AP35" s="180">
        <f ca="1">AP34*Main!$C$40/12</f>
        <v>4344.3956118505494</v>
      </c>
      <c r="AQ35" s="180">
        <f ca="1">AQ34*Main!$C$40/12</f>
        <v>4784.8475669151312</v>
      </c>
      <c r="AR35" s="180">
        <f ca="1">AR34*Main!$C$40/12</f>
        <v>5265.9683190893329</v>
      </c>
      <c r="AS35" s="180">
        <f ca="1">AS34*Main!$C$40/12</f>
        <v>5797.7580687936461</v>
      </c>
      <c r="AT35" s="180">
        <f ca="1">AT34*Main!$C$40/12</f>
        <v>6388.4447660219657</v>
      </c>
      <c r="AU35" s="180">
        <f ca="1">AU34*Main!$C$40/12</f>
        <v>7045.0840030976879</v>
      </c>
      <c r="AV35" s="180">
        <f ca="1">AV34*Main!$C$40/12</f>
        <v>7773.7703508398763</v>
      </c>
      <c r="AW35" s="180">
        <f ca="1">AW34*Main!$C$40/12</f>
        <v>8579.8048730945684</v>
      </c>
      <c r="AX35" s="180">
        <f ca="1">AX34*Main!$C$40/12</f>
        <v>9466.5872301113759</v>
      </c>
      <c r="AY35" s="180">
        <f ca="1">AY34*Main!$C$40/12</f>
        <v>10437.372274079406</v>
      </c>
      <c r="AZ35" s="180">
        <f ca="1">AZ34*Main!$C$40/12</f>
        <v>11495.262060989851</v>
      </c>
      <c r="BA35" s="180">
        <f ca="1">BA34*Main!$C$40/12</f>
        <v>12641.959989230962</v>
      </c>
      <c r="BB35" s="180">
        <f ca="1">BB34*Main!$C$40/12</f>
        <v>13879.436372780458</v>
      </c>
    </row>
    <row r="36" spans="1:71" s="197" customFormat="1" x14ac:dyDescent="0.15">
      <c r="B36" s="251"/>
      <c r="C36" s="235"/>
    </row>
    <row r="37" spans="1:71" s="196" customFormat="1" x14ac:dyDescent="0.15">
      <c r="A37" s="196" t="s">
        <v>164</v>
      </c>
      <c r="B37" s="246"/>
      <c r="C37" s="231"/>
    </row>
    <row r="38" spans="1:71" s="170" customFormat="1" x14ac:dyDescent="0.15">
      <c r="A38" s="187" t="s">
        <v>170</v>
      </c>
      <c r="B38" s="243"/>
      <c r="C38" s="230">
        <f t="shared" ref="C38:F39" si="21">SUMIFS($G38:$BB38,$G$2:$BB$2,C$3)</f>
        <v>33112.98070749933</v>
      </c>
      <c r="D38" s="170">
        <f t="shared" si="21"/>
        <v>553566.74692986417</v>
      </c>
      <c r="E38" s="170">
        <f t="shared" si="21"/>
        <v>1542380.9026930132</v>
      </c>
      <c r="F38" s="170">
        <f t="shared" si="21"/>
        <v>4658644.729083552</v>
      </c>
      <c r="G38" s="170">
        <v>0</v>
      </c>
      <c r="H38" s="170">
        <f>G30*INDEX(Main!$C$42:$F$42,MATCH(Sales!H$2,Main!$C$41:$F$41))</f>
        <v>500</v>
      </c>
      <c r="I38" s="170">
        <f>H30*INDEX(Main!$C$42:$F$42,MATCH(Sales!I$2,Main!$C$41:$F$41))</f>
        <v>750</v>
      </c>
      <c r="J38" s="170">
        <f>I30*INDEX(Main!$C$42:$F$42,MATCH(Sales!J$2,Main!$C$41:$F$41))</f>
        <v>875</v>
      </c>
      <c r="K38" s="170">
        <f>J30*INDEX(Main!$C$42:$F$42,MATCH(Sales!K$2,Main!$C$41:$F$41))</f>
        <v>1104.1666666666667</v>
      </c>
      <c r="L38" s="170">
        <f>K30*INDEX(Main!$C$42:$F$42,MATCH(Sales!L$2,Main!$C$41:$F$41))</f>
        <v>1218.7500000000002</v>
      </c>
      <c r="M38" s="170">
        <f>L30*INDEX(Main!$C$42:$F$42,MATCH(Sales!M$2,Main!$C$41:$F$41))</f>
        <v>1276.041666666667</v>
      </c>
      <c r="N38" s="170">
        <f>M30*INDEX(Main!$C$42:$F$42,MATCH(Sales!N$2,Main!$C$41:$F$41))</f>
        <v>2804.6875000000005</v>
      </c>
      <c r="O38" s="170">
        <f>N30*INDEX(Main!$C$42:$F$42,MATCH(Sales!O$2,Main!$C$41:$F$41))</f>
        <v>4402.34375</v>
      </c>
      <c r="P38" s="170">
        <f>O30*INDEX(Main!$C$42:$F$42,MATCH(Sales!P$2,Main!$C$41:$F$41))</f>
        <v>6034.5052083333339</v>
      </c>
      <c r="Q38" s="170">
        <f>P30*INDEX(Main!$C$42:$F$42,MATCH(Sales!Q$2,Main!$C$41:$F$41))</f>
        <v>6850.5859375</v>
      </c>
      <c r="R38" s="170">
        <f>Q30*INDEX(Main!$C$42:$F$42,MATCH(Sales!R$2,Main!$C$41:$F$41))</f>
        <v>7296.8999783326617</v>
      </c>
      <c r="S38" s="170">
        <f>R30*INDEX(Main!$C$42:$F$42,MATCH(Sales!S$2,Main!$C$41:$F$41))</f>
        <v>9070.6999496589324</v>
      </c>
      <c r="T38" s="170">
        <f>S30*INDEX(Main!$C$42:$F$42,MATCH(Sales!T$2,Main!$C$41:$F$41))</f>
        <v>22930.56738495121</v>
      </c>
      <c r="U38" s="170">
        <f>T30*INDEX(Main!$C$42:$F$42,MATCH(Sales!U$2,Main!$C$41:$F$41))</f>
        <v>33126.150181615623</v>
      </c>
      <c r="V38" s="170">
        <f>U30*INDEX(Main!$C$42:$F$42,MATCH(Sales!V$2,Main!$C$41:$F$41))</f>
        <v>40904.041047462706</v>
      </c>
      <c r="W38" s="170">
        <f>V30*INDEX(Main!$C$42:$F$42,MATCH(Sales!W$2,Main!$C$41:$F$41))</f>
        <v>46087.002436356379</v>
      </c>
      <c r="X38" s="170">
        <f>W30*INDEX(Main!$C$42:$F$42,MATCH(Sales!X$2,Main!$C$41:$F$41))</f>
        <v>49603.997418542371</v>
      </c>
      <c r="Y38" s="170">
        <f>X30*INDEX(Main!$C$42:$F$42,MATCH(Sales!Y$2,Main!$C$41:$F$41))</f>
        <v>52022.927962869006</v>
      </c>
      <c r="Z38" s="170">
        <f>Y30*INDEX(Main!$C$42:$F$42,MATCH(Sales!Z$2,Main!$C$41:$F$41))</f>
        <v>54718.631925605587</v>
      </c>
      <c r="AA38" s="170">
        <f>Z30*INDEX(Main!$C$42:$F$42,MATCH(Sales!AA$2,Main!$C$41:$F$41))</f>
        <v>57598.525194052403</v>
      </c>
      <c r="AB38" s="170">
        <f>AA30*INDEX(Main!$C$42:$F$42,MATCH(Sales!AB$2,Main!$C$41:$F$41))</f>
        <v>60601.525506610182</v>
      </c>
      <c r="AC38" s="170">
        <f>AB30*INDEX(Main!$C$42:$F$42,MATCH(Sales!AC$2,Main!$C$41:$F$41))</f>
        <v>62687.342179393723</v>
      </c>
      <c r="AD38" s="170">
        <f>AC30*INDEX(Main!$C$42:$F$42,MATCH(Sales!AD$2,Main!$C$41:$F$41))</f>
        <v>64215.335742746058</v>
      </c>
      <c r="AE38" s="170">
        <f>AD30*INDEX(Main!$C$42:$F$42,MATCH(Sales!AE$2,Main!$C$41:$F$41))</f>
        <v>65377.483212034633</v>
      </c>
      <c r="AF38" s="170">
        <f>AE30*INDEX(Main!$C$42:$F$42,MATCH(Sales!AF$2,Main!$C$41:$F$41))</f>
        <v>87659.173884588556</v>
      </c>
      <c r="AG38" s="170">
        <f>AF30*INDEX(Main!$C$42:$F$42,MATCH(Sales!AG$2,Main!$C$41:$F$41))</f>
        <v>103860.40416911387</v>
      </c>
      <c r="AH38" s="170">
        <f>AG30*INDEX(Main!$C$42:$F$42,MATCH(Sales!AH$2,Main!$C$41:$F$41))</f>
        <v>115686.12819341327</v>
      </c>
      <c r="AI38" s="170">
        <f>AH30*INDEX(Main!$C$42:$F$42,MATCH(Sales!AI$2,Main!$C$41:$F$41))</f>
        <v>124363.95005832575</v>
      </c>
      <c r="AJ38" s="170">
        <f>AI30*INDEX(Main!$C$42:$F$42,MATCH(Sales!AJ$2,Main!$C$41:$F$41))</f>
        <v>130777.78241369911</v>
      </c>
      <c r="AK38" s="170">
        <f>AJ30*INDEX(Main!$C$42:$F$42,MATCH(Sales!AK$2,Main!$C$41:$F$41))</f>
        <v>135564.0806417923</v>
      </c>
      <c r="AL38" s="170">
        <f>AK30*INDEX(Main!$C$42:$F$42,MATCH(Sales!AL$2,Main!$C$41:$F$41))</f>
        <v>143501.13147816062</v>
      </c>
      <c r="AM38" s="170">
        <f>AL30*INDEX(Main!$C$42:$F$42,MATCH(Sales!AM$2,Main!$C$41:$F$41))</f>
        <v>149389.34082766378</v>
      </c>
      <c r="AN38" s="170">
        <f>AM30*INDEX(Main!$C$42:$F$42,MATCH(Sales!AN$2,Main!$C$41:$F$41))</f>
        <v>153805.04100109983</v>
      </c>
      <c r="AO38" s="170">
        <f>AN30*INDEX(Main!$C$42:$F$42,MATCH(Sales!AO$2,Main!$C$41:$F$41))</f>
        <v>162483.23193482906</v>
      </c>
      <c r="AP38" s="170">
        <f>AO30*INDEX(Main!$C$42:$F$42,MATCH(Sales!AP$2,Main!$C$41:$F$41))</f>
        <v>169913.15487829235</v>
      </c>
      <c r="AQ38" s="170">
        <f>AP30*INDEX(Main!$C$42:$F$42,MATCH(Sales!AQ$2,Main!$C$41:$F$41))</f>
        <v>176447.10545855717</v>
      </c>
      <c r="AR38" s="170">
        <f>AQ30*INDEX(Main!$C$42:$F$42,MATCH(Sales!AR$2,Main!$C$41:$F$41))</f>
        <v>241517.03399541148</v>
      </c>
      <c r="AS38" s="170">
        <f>AR30*INDEX(Main!$C$42:$F$42,MATCH(Sales!AS$2,Main!$C$41:$F$41))</f>
        <v>293507.60226600082</v>
      </c>
      <c r="AT38" s="170">
        <f>AS30*INDEX(Main!$C$42:$F$42,MATCH(Sales!AT$2,Main!$C$41:$F$41))</f>
        <v>335299.88293155003</v>
      </c>
      <c r="AU38" s="170">
        <f>AT30*INDEX(Main!$C$42:$F$42,MATCH(Sales!AU$2,Main!$C$41:$F$41))</f>
        <v>370141.16798709577</v>
      </c>
      <c r="AV38" s="170">
        <f>AU30*INDEX(Main!$C$42:$F$42,MATCH(Sales!AV$2,Main!$C$41:$F$41))</f>
        <v>399610.3297664558</v>
      </c>
      <c r="AW38" s="170">
        <f>AV30*INDEX(Main!$C$42:$F$42,MATCH(Sales!AW$2,Main!$C$41:$F$41))</f>
        <v>424893.72044423455</v>
      </c>
      <c r="AX38" s="170">
        <f>AW30*INDEX(Main!$C$42:$F$42,MATCH(Sales!AX$2,Main!$C$41:$F$41))</f>
        <v>446916.76338042301</v>
      </c>
      <c r="AY38" s="170">
        <f>AX30*INDEX(Main!$C$42:$F$42,MATCH(Sales!AY$2,Main!$C$41:$F$41))</f>
        <v>466493.21533381846</v>
      </c>
      <c r="AZ38" s="170">
        <f>AY30*INDEX(Main!$C$42:$F$42,MATCH(Sales!AZ$2,Main!$C$41:$F$41))</f>
        <v>484167.426814912</v>
      </c>
      <c r="BA38" s="170">
        <f>AZ30*INDEX(Main!$C$42:$F$42,MATCH(Sales!BA$2,Main!$C$41:$F$41))</f>
        <v>501364.08461722388</v>
      </c>
      <c r="BB38" s="170">
        <f>BA30*INDEX(Main!$C$42:$F$42,MATCH(Sales!BB$2,Main!$C$41:$F$41))</f>
        <v>518286.39608786866</v>
      </c>
    </row>
    <row r="39" spans="1:71" s="180" customFormat="1" x14ac:dyDescent="0.15">
      <c r="A39" s="181" t="s">
        <v>171</v>
      </c>
      <c r="B39" s="244"/>
      <c r="C39" s="236">
        <f t="shared" si="21"/>
        <v>3311.2980707499332</v>
      </c>
      <c r="D39" s="180">
        <f t="shared" si="21"/>
        <v>60892.342162285066</v>
      </c>
      <c r="E39" s="180">
        <f t="shared" si="21"/>
        <v>185085.70832316158</v>
      </c>
      <c r="F39" s="180">
        <f t="shared" si="21"/>
        <v>605623.81478086172</v>
      </c>
      <c r="G39" s="180">
        <v>0</v>
      </c>
      <c r="H39" s="180">
        <f>H38*INDEX(Main!$C$43:$F$43,MATCH(Sales!H$2,Main!$C$41:$F$41))</f>
        <v>50</v>
      </c>
      <c r="I39" s="180">
        <f>I38*INDEX(Main!$C$43:$F$43,MATCH(Sales!I$2,Main!$C$41:$F$41))</f>
        <v>75</v>
      </c>
      <c r="J39" s="180">
        <f>J38*INDEX(Main!$C$43:$F$43,MATCH(Sales!J$2,Main!$C$41:$F$41))</f>
        <v>87.5</v>
      </c>
      <c r="K39" s="180">
        <f>K38*INDEX(Main!$C$43:$F$43,MATCH(Sales!K$2,Main!$C$41:$F$41))</f>
        <v>110.41666666666669</v>
      </c>
      <c r="L39" s="180">
        <f>L38*INDEX(Main!$C$43:$F$43,MATCH(Sales!L$2,Main!$C$41:$F$41))</f>
        <v>121.87500000000003</v>
      </c>
      <c r="M39" s="180">
        <f>M38*INDEX(Main!$C$43:$F$43,MATCH(Sales!M$2,Main!$C$41:$F$41))</f>
        <v>127.6041666666667</v>
      </c>
      <c r="N39" s="180">
        <f>N38*INDEX(Main!$C$43:$F$43,MATCH(Sales!N$2,Main!$C$41:$F$41))</f>
        <v>280.46875000000006</v>
      </c>
      <c r="O39" s="180">
        <f>O38*INDEX(Main!$C$43:$F$43,MATCH(Sales!O$2,Main!$C$41:$F$41))</f>
        <v>440.234375</v>
      </c>
      <c r="P39" s="180">
        <f>P38*INDEX(Main!$C$43:$F$43,MATCH(Sales!P$2,Main!$C$41:$F$41))</f>
        <v>603.45052083333337</v>
      </c>
      <c r="Q39" s="180">
        <f>Q38*INDEX(Main!$C$43:$F$43,MATCH(Sales!Q$2,Main!$C$41:$F$41))</f>
        <v>685.05859375</v>
      </c>
      <c r="R39" s="180">
        <f>R38*INDEX(Main!$C$43:$F$43,MATCH(Sales!R$2,Main!$C$41:$F$41))</f>
        <v>729.68999783326626</v>
      </c>
      <c r="S39" s="180">
        <f>S38*INDEX(Main!$C$43:$F$43,MATCH(Sales!S$2,Main!$C$41:$F$41))</f>
        <v>997.77699446248255</v>
      </c>
      <c r="T39" s="180">
        <f>T38*INDEX(Main!$C$43:$F$43,MATCH(Sales!T$2,Main!$C$41:$F$41))</f>
        <v>2522.362412344633</v>
      </c>
      <c r="U39" s="180">
        <f>U38*INDEX(Main!$C$43:$F$43,MATCH(Sales!U$2,Main!$C$41:$F$41))</f>
        <v>3643.8765199777185</v>
      </c>
      <c r="V39" s="180">
        <f>V38*INDEX(Main!$C$43:$F$43,MATCH(Sales!V$2,Main!$C$41:$F$41))</f>
        <v>4499.4445152208973</v>
      </c>
      <c r="W39" s="180">
        <f>W38*INDEX(Main!$C$43:$F$43,MATCH(Sales!W$2,Main!$C$41:$F$41))</f>
        <v>5069.5702679992019</v>
      </c>
      <c r="X39" s="180">
        <f>X38*INDEX(Main!$C$43:$F$43,MATCH(Sales!X$2,Main!$C$41:$F$41))</f>
        <v>5456.4397160396611</v>
      </c>
      <c r="Y39" s="180">
        <f>Y38*INDEX(Main!$C$43:$F$43,MATCH(Sales!Y$2,Main!$C$41:$F$41))</f>
        <v>5722.5220759155909</v>
      </c>
      <c r="Z39" s="180">
        <f>Z38*INDEX(Main!$C$43:$F$43,MATCH(Sales!Z$2,Main!$C$41:$F$41))</f>
        <v>6019.0495118166145</v>
      </c>
      <c r="AA39" s="180">
        <f>AA38*INDEX(Main!$C$43:$F$43,MATCH(Sales!AA$2,Main!$C$41:$F$41))</f>
        <v>6335.8377713457639</v>
      </c>
      <c r="AB39" s="180">
        <f>AB38*INDEX(Main!$C$43:$F$43,MATCH(Sales!AB$2,Main!$C$41:$F$41))</f>
        <v>6666.1678057271201</v>
      </c>
      <c r="AC39" s="180">
        <f>AC38*INDEX(Main!$C$43:$F$43,MATCH(Sales!AC$2,Main!$C$41:$F$41))</f>
        <v>6895.60763973331</v>
      </c>
      <c r="AD39" s="180">
        <f>AD38*INDEX(Main!$C$43:$F$43,MATCH(Sales!AD$2,Main!$C$41:$F$41))</f>
        <v>7063.6869317020664</v>
      </c>
      <c r="AE39" s="180">
        <f>AE38*INDEX(Main!$C$43:$F$43,MATCH(Sales!AE$2,Main!$C$41:$F$41))</f>
        <v>7845.2979854441555</v>
      </c>
      <c r="AF39" s="180">
        <f>AF38*INDEX(Main!$C$43:$F$43,MATCH(Sales!AF$2,Main!$C$41:$F$41))</f>
        <v>10519.100866150626</v>
      </c>
      <c r="AG39" s="180">
        <f>AG38*INDEX(Main!$C$43:$F$43,MATCH(Sales!AG$2,Main!$C$41:$F$41))</f>
        <v>12463.248500293665</v>
      </c>
      <c r="AH39" s="180">
        <f>AH38*INDEX(Main!$C$43:$F$43,MATCH(Sales!AH$2,Main!$C$41:$F$41))</f>
        <v>13882.335383209593</v>
      </c>
      <c r="AI39" s="180">
        <f>AI38*INDEX(Main!$C$43:$F$43,MATCH(Sales!AI$2,Main!$C$41:$F$41))</f>
        <v>14923.674006999088</v>
      </c>
      <c r="AJ39" s="180">
        <f>AJ38*INDEX(Main!$C$43:$F$43,MATCH(Sales!AJ$2,Main!$C$41:$F$41))</f>
        <v>15693.333889643893</v>
      </c>
      <c r="AK39" s="180">
        <f>AK38*INDEX(Main!$C$43:$F$43,MATCH(Sales!AK$2,Main!$C$41:$F$41))</f>
        <v>16267.689677015076</v>
      </c>
      <c r="AL39" s="180">
        <f>AL38*INDEX(Main!$C$43:$F$43,MATCH(Sales!AL$2,Main!$C$41:$F$41))</f>
        <v>17220.135777379273</v>
      </c>
      <c r="AM39" s="180">
        <f>AM38*INDEX(Main!$C$43:$F$43,MATCH(Sales!AM$2,Main!$C$41:$F$41))</f>
        <v>17926.720899319651</v>
      </c>
      <c r="AN39" s="180">
        <f>AN38*INDEX(Main!$C$43:$F$43,MATCH(Sales!AN$2,Main!$C$41:$F$41))</f>
        <v>18456.60492013198</v>
      </c>
      <c r="AO39" s="180">
        <f>AO38*INDEX(Main!$C$43:$F$43,MATCH(Sales!AO$2,Main!$C$41:$F$41))</f>
        <v>19497.987832179486</v>
      </c>
      <c r="AP39" s="180">
        <f>AP38*INDEX(Main!$C$43:$F$43,MATCH(Sales!AP$2,Main!$C$41:$F$41))</f>
        <v>20389.57858539508</v>
      </c>
      <c r="AQ39" s="180">
        <f>AQ38*INDEX(Main!$C$43:$F$43,MATCH(Sales!AQ$2,Main!$C$41:$F$41))</f>
        <v>22938.123709612431</v>
      </c>
      <c r="AR39" s="180">
        <f>AR38*INDEX(Main!$C$43:$F$43,MATCH(Sales!AR$2,Main!$C$41:$F$41))</f>
        <v>31397.214419403492</v>
      </c>
      <c r="AS39" s="180">
        <f>AS38*INDEX(Main!$C$43:$F$43,MATCH(Sales!AS$2,Main!$C$41:$F$41))</f>
        <v>38155.988294580107</v>
      </c>
      <c r="AT39" s="180">
        <f>AT38*INDEX(Main!$C$43:$F$43,MATCH(Sales!AT$2,Main!$C$41:$F$41))</f>
        <v>43588.984781101506</v>
      </c>
      <c r="AU39" s="180">
        <f>AU38*INDEX(Main!$C$43:$F$43,MATCH(Sales!AU$2,Main!$C$41:$F$41))</f>
        <v>48118.351838322451</v>
      </c>
      <c r="AV39" s="180">
        <f>AV38*INDEX(Main!$C$43:$F$43,MATCH(Sales!AV$2,Main!$C$41:$F$41))</f>
        <v>51949.342869639258</v>
      </c>
      <c r="AW39" s="180">
        <f>AW38*INDEX(Main!$C$43:$F$43,MATCH(Sales!AW$2,Main!$C$41:$F$41))</f>
        <v>55236.183657750495</v>
      </c>
      <c r="AX39" s="180">
        <f>AX38*INDEX(Main!$C$43:$F$43,MATCH(Sales!AX$2,Main!$C$41:$F$41))</f>
        <v>58099.179239454992</v>
      </c>
      <c r="AY39" s="180">
        <f>AY38*INDEX(Main!$C$43:$F$43,MATCH(Sales!AY$2,Main!$C$41:$F$41))</f>
        <v>60644.117993396401</v>
      </c>
      <c r="AZ39" s="180">
        <f>AZ38*INDEX(Main!$C$43:$F$43,MATCH(Sales!AZ$2,Main!$C$41:$F$41))</f>
        <v>62941.765485938566</v>
      </c>
      <c r="BA39" s="180">
        <f>BA38*INDEX(Main!$C$43:$F$43,MATCH(Sales!BA$2,Main!$C$41:$F$41))</f>
        <v>65177.331000239108</v>
      </c>
      <c r="BB39" s="180">
        <f>BB38*INDEX(Main!$C$43:$F$43,MATCH(Sales!BB$2,Main!$C$41:$F$41))</f>
        <v>67377.231491422936</v>
      </c>
    </row>
    <row r="40" spans="1:71" s="170" customFormat="1" x14ac:dyDescent="0.15">
      <c r="B40" s="243"/>
      <c r="C40" s="230"/>
    </row>
    <row r="41" spans="1:71" s="182" customFormat="1" ht="16" x14ac:dyDescent="0.2">
      <c r="A41" s="182" t="s">
        <v>177</v>
      </c>
      <c r="B41" s="247"/>
      <c r="C41" s="232"/>
    </row>
    <row r="42" spans="1:71" s="198" customFormat="1" x14ac:dyDescent="0.15">
      <c r="A42" s="198" t="s">
        <v>235</v>
      </c>
      <c r="B42" s="249"/>
      <c r="C42" s="234">
        <f t="shared" ref="C42:F42" ca="1" si="22">SUMIFS($G42:$BB42,$G$2:$BB$2,C$3)</f>
        <v>8313.0564181447626</v>
      </c>
      <c r="D42" s="198">
        <f t="shared" ca="1" si="22"/>
        <v>106252.51318886426</v>
      </c>
      <c r="E42" s="198">
        <f t="shared" ca="1" si="22"/>
        <v>305940.23600822542</v>
      </c>
      <c r="F42" s="198">
        <f t="shared" ca="1" si="22"/>
        <v>939756.31792767881</v>
      </c>
      <c r="G42" s="198">
        <f t="shared" ref="G42:BB42" si="23">G9+G15+G25+G35+G39</f>
        <v>100</v>
      </c>
      <c r="H42" s="198">
        <f t="shared" ca="1" si="23"/>
        <v>152.08333333333331</v>
      </c>
      <c r="I42" s="198">
        <f t="shared" ca="1" si="23"/>
        <v>178.63672748858886</v>
      </c>
      <c r="J42" s="198">
        <f t="shared" ca="1" si="23"/>
        <v>226.18801331004582</v>
      </c>
      <c r="K42" s="198">
        <f t="shared" ca="1" si="23"/>
        <v>251.09461886345466</v>
      </c>
      <c r="L42" s="198">
        <f t="shared" ca="1" si="23"/>
        <v>264.7392626057474</v>
      </c>
      <c r="M42" s="198">
        <f t="shared" ca="1" si="23"/>
        <v>572.78548239537974</v>
      </c>
      <c r="N42" s="198">
        <f t="shared" ca="1" si="23"/>
        <v>895.61196370880612</v>
      </c>
      <c r="O42" s="198">
        <f t="shared" ca="1" si="23"/>
        <v>1226.7704149973679</v>
      </c>
      <c r="P42" s="198">
        <f t="shared" ca="1" si="23"/>
        <v>1396.4047829398137</v>
      </c>
      <c r="Q42" s="198">
        <f t="shared" ca="1" si="23"/>
        <v>1493.5887155271416</v>
      </c>
      <c r="R42" s="198">
        <f t="shared" ca="1" si="23"/>
        <v>1555.1531029750834</v>
      </c>
      <c r="S42" s="198">
        <f t="shared" ca="1" si="23"/>
        <v>3875.2915190119706</v>
      </c>
      <c r="T42" s="198">
        <f t="shared" ca="1" si="23"/>
        <v>5594.670955101843</v>
      </c>
      <c r="U42" s="198">
        <f t="shared" ca="1" si="23"/>
        <v>6920.2505892189347</v>
      </c>
      <c r="V42" s="198">
        <f t="shared" ca="1" si="23"/>
        <v>7824.6179989732882</v>
      </c>
      <c r="W42" s="198">
        <f t="shared" ca="1" si="23"/>
        <v>8463.9219198602259</v>
      </c>
      <c r="X42" s="198">
        <f t="shared" ca="1" si="23"/>
        <v>8933.6804200186889</v>
      </c>
      <c r="Y42" s="198">
        <f t="shared" ca="1" si="23"/>
        <v>9463.5954626735838</v>
      </c>
      <c r="Z42" s="198">
        <f t="shared" ca="1" si="23"/>
        <v>10038.362965338885</v>
      </c>
      <c r="AA42" s="198">
        <f t="shared" ca="1" si="23"/>
        <v>10647.957380897918</v>
      </c>
      <c r="AB42" s="198">
        <f t="shared" ca="1" si="23"/>
        <v>11119.174045333744</v>
      </c>
      <c r="AC42" s="198">
        <f t="shared" ca="1" si="23"/>
        <v>11512.099921295754</v>
      </c>
      <c r="AD42" s="198">
        <f t="shared" ca="1" si="23"/>
        <v>11858.890011139436</v>
      </c>
      <c r="AE42" s="198">
        <f t="shared" ca="1" si="23"/>
        <v>15740.558109662523</v>
      </c>
      <c r="AF42" s="198">
        <f t="shared" ca="1" si="23"/>
        <v>18626.076431845482</v>
      </c>
      <c r="AG42" s="198">
        <f t="shared" ca="1" si="23"/>
        <v>20801.190861485389</v>
      </c>
      <c r="AH42" s="198">
        <f t="shared" ca="1" si="23"/>
        <v>22471.508575615651</v>
      </c>
      <c r="AI42" s="198">
        <f t="shared" ca="1" si="23"/>
        <v>23785.186040726323</v>
      </c>
      <c r="AJ42" s="198">
        <f t="shared" ca="1" si="23"/>
        <v>24848.956483510414</v>
      </c>
      <c r="AK42" s="198">
        <f t="shared" ca="1" si="23"/>
        <v>26459.699407055108</v>
      </c>
      <c r="AL42" s="198">
        <f t="shared" ca="1" si="23"/>
        <v>27752.141410550714</v>
      </c>
      <c r="AM42" s="198">
        <f t="shared" ca="1" si="23"/>
        <v>28823.005774571175</v>
      </c>
      <c r="AN42" s="198">
        <f t="shared" ca="1" si="23"/>
        <v>30628.326184293881</v>
      </c>
      <c r="AO42" s="198">
        <f t="shared" ca="1" si="23"/>
        <v>32251.340207298701</v>
      </c>
      <c r="AP42" s="198">
        <f t="shared" ca="1" si="23"/>
        <v>33752.246521610075</v>
      </c>
      <c r="AQ42" s="198">
        <f t="shared" ca="1" si="23"/>
        <v>45037.686566150383</v>
      </c>
      <c r="AR42" s="198">
        <f t="shared" ca="1" si="23"/>
        <v>54183.902030089477</v>
      </c>
      <c r="AS42" s="198">
        <f t="shared" ca="1" si="23"/>
        <v>61681.071890718653</v>
      </c>
      <c r="AT42" s="198">
        <f t="shared" ca="1" si="23"/>
        <v>68078.639430537922</v>
      </c>
      <c r="AU42" s="198">
        <f t="shared" ca="1" si="23"/>
        <v>73646.805630840317</v>
      </c>
      <c r="AV42" s="198">
        <f t="shared" ca="1" si="23"/>
        <v>78589.390424878977</v>
      </c>
      <c r="AW42" s="198">
        <f t="shared" ca="1" si="23"/>
        <v>83065.932103165076</v>
      </c>
      <c r="AX42" s="198">
        <f t="shared" ca="1" si="23"/>
        <v>87215.456452414452</v>
      </c>
      <c r="AY42" s="198">
        <f t="shared" ca="1" si="23"/>
        <v>91131.943409898086</v>
      </c>
      <c r="AZ42" s="198">
        <f t="shared" ca="1" si="23"/>
        <v>95055.942830527172</v>
      </c>
      <c r="BA42" s="198">
        <f t="shared" ca="1" si="23"/>
        <v>99023.026003875741</v>
      </c>
      <c r="BB42" s="198">
        <f t="shared" ca="1" si="23"/>
        <v>103046.52115458256</v>
      </c>
    </row>
    <row r="43" spans="1:71" s="201" customFormat="1" x14ac:dyDescent="0.15">
      <c r="A43" s="200" t="s">
        <v>176</v>
      </c>
      <c r="B43" s="252"/>
      <c r="C43" s="237">
        <f t="shared" ref="C43:F43" ca="1" si="24">IFERROR((C6+C13+C24)/C42,0)</f>
        <v>5.7166797631693305</v>
      </c>
      <c r="D43" s="201">
        <f t="shared" ca="1" si="24"/>
        <v>2.4013102235950559</v>
      </c>
      <c r="E43" s="201">
        <f t="shared" ca="1" si="24"/>
        <v>1.9400173933016238</v>
      </c>
      <c r="F43" s="201">
        <f t="shared" ca="1" si="24"/>
        <v>1.3361265321395219</v>
      </c>
      <c r="G43" s="201">
        <f>IFERROR((G6+G13+G24)/G42,0)</f>
        <v>10</v>
      </c>
      <c r="H43" s="201">
        <f t="shared" ref="H43:BB43" ca="1" si="25">IFERROR((H6+H13+H24)/H42,0)</f>
        <v>6.5753424657534252</v>
      </c>
      <c r="I43" s="201">
        <f t="shared" ca="1" si="25"/>
        <v>5.5979529745017249</v>
      </c>
      <c r="J43" s="201">
        <f t="shared" ca="1" si="25"/>
        <v>8.8422015416816642</v>
      </c>
      <c r="K43" s="201">
        <f t="shared" ca="1" si="25"/>
        <v>7.9651248961555829</v>
      </c>
      <c r="L43" s="201">
        <f t="shared" ca="1" si="25"/>
        <v>7.5546028961273564</v>
      </c>
      <c r="M43" s="201">
        <f t="shared" ca="1" si="25"/>
        <v>10.766101544469608</v>
      </c>
      <c r="N43" s="201">
        <f t="shared" ca="1" si="25"/>
        <v>7.0715148858736274</v>
      </c>
      <c r="O43" s="201">
        <f t="shared" ca="1" si="25"/>
        <v>5.298464912861423</v>
      </c>
      <c r="P43" s="201">
        <f t="shared" ca="1" si="25"/>
        <v>4.6548107535951884</v>
      </c>
      <c r="Q43" s="201">
        <f t="shared" ca="1" si="25"/>
        <v>4.3570593883022735</v>
      </c>
      <c r="R43" s="201">
        <f t="shared" ca="1" si="25"/>
        <v>4.1895724915951327</v>
      </c>
      <c r="S43" s="201">
        <f t="shared" ca="1" si="25"/>
        <v>5.3389491177266981</v>
      </c>
      <c r="T43" s="201">
        <f t="shared" ca="1" si="25"/>
        <v>3.7293815463620641</v>
      </c>
      <c r="U43" s="201">
        <f t="shared" ca="1" si="25"/>
        <v>3.0402748257955863</v>
      </c>
      <c r="V43" s="201">
        <f t="shared" ca="1" si="25"/>
        <v>2.6899361170432803</v>
      </c>
      <c r="W43" s="201">
        <f t="shared" ca="1" si="25"/>
        <v>2.4886527586775098</v>
      </c>
      <c r="X43" s="201">
        <f t="shared" ca="1" si="25"/>
        <v>2.3596152186656951</v>
      </c>
      <c r="Y43" s="201">
        <f t="shared" ca="1" si="25"/>
        <v>2.2468468771253041</v>
      </c>
      <c r="Z43" s="201">
        <f t="shared" ca="1" si="25"/>
        <v>2.1364743196918363</v>
      </c>
      <c r="AA43" s="201">
        <f t="shared" ca="1" si="25"/>
        <v>2.0314146371923107</v>
      </c>
      <c r="AB43" s="201">
        <f t="shared" ca="1" si="25"/>
        <v>1.9468822476602763</v>
      </c>
      <c r="AC43" s="201">
        <f t="shared" ca="1" si="25"/>
        <v>1.8826233672015955</v>
      </c>
      <c r="AD43" s="201">
        <f t="shared" ca="1" si="25"/>
        <v>1.8297294476904291</v>
      </c>
      <c r="AE43" s="201">
        <f t="shared" ca="1" si="25"/>
        <v>2.6507677833253465</v>
      </c>
      <c r="AF43" s="201">
        <f t="shared" ca="1" si="25"/>
        <v>2.2415330812229275</v>
      </c>
      <c r="AG43" s="201">
        <f t="shared" ca="1" si="25"/>
        <v>2.0084317837124019</v>
      </c>
      <c r="AH43" s="201">
        <f t="shared" ca="1" si="25"/>
        <v>1.8603552799243268</v>
      </c>
      <c r="AI43" s="201">
        <f t="shared" ca="1" si="25"/>
        <v>1.7587679570940757</v>
      </c>
      <c r="AJ43" s="201">
        <f t="shared" ca="1" si="25"/>
        <v>1.6846051293314173</v>
      </c>
      <c r="AK43" s="201">
        <f t="shared" ca="1" si="25"/>
        <v>1.9610640608981942</v>
      </c>
      <c r="AL43" s="201">
        <f t="shared" ca="1" si="25"/>
        <v>1.8707777149823825</v>
      </c>
      <c r="AM43" s="201">
        <f t="shared" ca="1" si="25"/>
        <v>1.802291301856304</v>
      </c>
      <c r="AN43" s="201">
        <f t="shared" ca="1" si="25"/>
        <v>2.0289693064435266</v>
      </c>
      <c r="AO43" s="201">
        <f t="shared" ca="1" si="25"/>
        <v>1.9329699452332962</v>
      </c>
      <c r="AP43" s="201">
        <f t="shared" ca="1" si="25"/>
        <v>1.8528625134425925</v>
      </c>
      <c r="AQ43" s="201">
        <f t="shared" ca="1" si="25"/>
        <v>2.2811150326328318</v>
      </c>
      <c r="AR43" s="201">
        <f t="shared" ca="1" si="25"/>
        <v>1.8998659012386974</v>
      </c>
      <c r="AS43" s="201">
        <f t="shared" ca="1" si="25"/>
        <v>1.6722918544853402</v>
      </c>
      <c r="AT43" s="201">
        <f t="shared" ca="1" si="25"/>
        <v>1.5206331871609944</v>
      </c>
      <c r="AU43" s="201">
        <f t="shared" ca="1" si="25"/>
        <v>1.4108527514645877</v>
      </c>
      <c r="AV43" s="201">
        <f t="shared" ca="1" si="25"/>
        <v>1.326994715342825</v>
      </c>
      <c r="AW43" s="201">
        <f t="shared" ca="1" si="25"/>
        <v>1.2600998928628198</v>
      </c>
      <c r="AX43" s="201">
        <f t="shared" ca="1" si="25"/>
        <v>1.2047304781533124</v>
      </c>
      <c r="AY43" s="201">
        <f t="shared" ca="1" si="25"/>
        <v>1.1573535882961896</v>
      </c>
      <c r="AZ43" s="201">
        <f t="shared" ca="1" si="25"/>
        <v>1.115557225539112</v>
      </c>
      <c r="BA43" s="201">
        <f t="shared" ca="1" si="25"/>
        <v>1.0767714125567214</v>
      </c>
      <c r="BB43" s="201">
        <f t="shared" ca="1" si="25"/>
        <v>1.0404163154715094</v>
      </c>
    </row>
    <row r="44" spans="1:71" s="173" customFormat="1" x14ac:dyDescent="0.15">
      <c r="A44" s="171" t="s">
        <v>46</v>
      </c>
      <c r="B44" s="253"/>
      <c r="C44" s="171"/>
      <c r="D44" s="171"/>
      <c r="E44" s="171"/>
      <c r="F44" s="171"/>
      <c r="G44" s="171"/>
    </row>
    <row r="45" spans="1:71" s="173" customFormat="1" x14ac:dyDescent="0.15">
      <c r="A45" s="171" t="s">
        <v>46</v>
      </c>
      <c r="B45" s="253"/>
      <c r="C45" s="171"/>
      <c r="D45" s="171"/>
      <c r="E45" s="171"/>
      <c r="F45" s="171"/>
      <c r="G45" s="171"/>
    </row>
    <row r="46" spans="1:71" s="173" customFormat="1" x14ac:dyDescent="0.15">
      <c r="A46" s="171" t="s">
        <v>46</v>
      </c>
      <c r="B46" s="253"/>
      <c r="C46" s="171"/>
      <c r="D46" s="171"/>
      <c r="E46" s="171"/>
      <c r="F46" s="171"/>
      <c r="G46" s="171"/>
    </row>
    <row r="47" spans="1:71" s="173" customFormat="1" x14ac:dyDescent="0.15">
      <c r="A47" s="171" t="s">
        <v>46</v>
      </c>
      <c r="B47" s="253"/>
      <c r="C47" s="171"/>
      <c r="D47" s="171"/>
      <c r="E47" s="171"/>
      <c r="F47" s="171"/>
      <c r="G47" s="171"/>
    </row>
    <row r="48" spans="1:71" s="54" customFormat="1" x14ac:dyDescent="0.15">
      <c r="A48" s="54" t="s">
        <v>46</v>
      </c>
      <c r="B48" s="254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s="54" customFormat="1" x14ac:dyDescent="0.15">
      <c r="A49" s="54" t="s">
        <v>46</v>
      </c>
      <c r="B49" s="254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s="54" customFormat="1" x14ac:dyDescent="0.15">
      <c r="A50" s="54" t="s">
        <v>46</v>
      </c>
      <c r="B50" s="254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s="54" customFormat="1" x14ac:dyDescent="0.15">
      <c r="A51" s="54" t="s">
        <v>46</v>
      </c>
      <c r="B51" s="254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</row>
    <row r="52" spans="1:71" s="54" customFormat="1" x14ac:dyDescent="0.15">
      <c r="A52" s="54" t="s">
        <v>46</v>
      </c>
      <c r="B52" s="254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s="54" customFormat="1" x14ac:dyDescent="0.15">
      <c r="A53" s="54" t="s">
        <v>46</v>
      </c>
      <c r="B53" s="254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s="54" customFormat="1" x14ac:dyDescent="0.15">
      <c r="A54" s="54" t="s">
        <v>46</v>
      </c>
      <c r="B54" s="254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s="54" customFormat="1" x14ac:dyDescent="0.15">
      <c r="A55" s="54" t="s">
        <v>46</v>
      </c>
      <c r="B55" s="254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s="54" customFormat="1" x14ac:dyDescent="0.15">
      <c r="A56" s="54" t="s">
        <v>46</v>
      </c>
      <c r="B56" s="254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s="54" customFormat="1" x14ac:dyDescent="0.15">
      <c r="A57" s="54" t="s">
        <v>46</v>
      </c>
      <c r="B57" s="254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s="54" customFormat="1" x14ac:dyDescent="0.15">
      <c r="A58" s="54" t="s">
        <v>46</v>
      </c>
      <c r="B58" s="254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s="54" customFormat="1" x14ac:dyDescent="0.15">
      <c r="A59" s="54" t="s">
        <v>46</v>
      </c>
      <c r="B59" s="254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s="54" customFormat="1" x14ac:dyDescent="0.15">
      <c r="A60" s="54" t="s">
        <v>46</v>
      </c>
      <c r="B60" s="254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s="54" customFormat="1" x14ac:dyDescent="0.15">
      <c r="A61" s="54" t="s">
        <v>46</v>
      </c>
      <c r="B61" s="254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s="54" customFormat="1" x14ac:dyDescent="0.15">
      <c r="A62" s="54" t="s">
        <v>46</v>
      </c>
      <c r="B62" s="254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s="54" customFormat="1" x14ac:dyDescent="0.15">
      <c r="A63" s="54" t="s">
        <v>46</v>
      </c>
      <c r="B63" s="25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s="54" customFormat="1" x14ac:dyDescent="0.15">
      <c r="A64" s="54" t="s">
        <v>46</v>
      </c>
      <c r="B64" s="254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1" s="54" customFormat="1" x14ac:dyDescent="0.15">
      <c r="A65" s="54" t="s">
        <v>46</v>
      </c>
      <c r="B65" s="254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1" s="54" customFormat="1" x14ac:dyDescent="0.15">
      <c r="A66" s="54" t="s">
        <v>46</v>
      </c>
      <c r="B66" s="254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1" s="54" customFormat="1" x14ac:dyDescent="0.15">
      <c r="A67" s="54" t="s">
        <v>46</v>
      </c>
      <c r="B67" s="254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1" s="54" customFormat="1" x14ac:dyDescent="0.15">
      <c r="A68" s="54" t="s">
        <v>46</v>
      </c>
      <c r="B68" s="254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1" s="54" customFormat="1" x14ac:dyDescent="0.15">
      <c r="A69" s="54" t="s">
        <v>46</v>
      </c>
      <c r="B69" s="254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1" s="54" customFormat="1" x14ac:dyDescent="0.15">
      <c r="A70" s="54" t="s">
        <v>46</v>
      </c>
      <c r="B70" s="254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1" s="54" customFormat="1" x14ac:dyDescent="0.15">
      <c r="A71" s="54" t="s">
        <v>46</v>
      </c>
      <c r="B71" s="254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</row>
    <row r="72" spans="1:71" s="54" customFormat="1" x14ac:dyDescent="0.15">
      <c r="A72" s="54" t="s">
        <v>46</v>
      </c>
      <c r="B72" s="254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</row>
    <row r="73" spans="1:71" s="54" customFormat="1" x14ac:dyDescent="0.15">
      <c r="A73" s="54" t="s">
        <v>46</v>
      </c>
      <c r="B73" s="254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</row>
    <row r="74" spans="1:71" s="54" customFormat="1" x14ac:dyDescent="0.15">
      <c r="A74" s="54" t="s">
        <v>46</v>
      </c>
      <c r="B74" s="254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</row>
    <row r="75" spans="1:71" s="54" customFormat="1" x14ac:dyDescent="0.15">
      <c r="A75" s="54" t="s">
        <v>46</v>
      </c>
      <c r="B75" s="254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</row>
    <row r="76" spans="1:71" s="54" customFormat="1" x14ac:dyDescent="0.15">
      <c r="A76" s="54" t="s">
        <v>46</v>
      </c>
      <c r="B76" s="254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</row>
    <row r="77" spans="1:71" s="54" customFormat="1" x14ac:dyDescent="0.15">
      <c r="A77" s="54" t="s">
        <v>46</v>
      </c>
      <c r="B77" s="254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</row>
    <row r="78" spans="1:71" s="54" customFormat="1" x14ac:dyDescent="0.15">
      <c r="A78" s="54" t="s">
        <v>46</v>
      </c>
      <c r="B78" s="254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</row>
    <row r="79" spans="1:71" s="54" customFormat="1" x14ac:dyDescent="0.15">
      <c r="A79" s="54" t="s">
        <v>46</v>
      </c>
      <c r="B79" s="254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</row>
    <row r="80" spans="1:71" s="54" customFormat="1" x14ac:dyDescent="0.15">
      <c r="A80" s="54" t="s">
        <v>46</v>
      </c>
      <c r="B80" s="254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</row>
    <row r="81" spans="1:71" s="54" customFormat="1" x14ac:dyDescent="0.15">
      <c r="A81" s="54" t="s">
        <v>46</v>
      </c>
      <c r="B81" s="254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</row>
    <row r="82" spans="1:71" s="54" customFormat="1" x14ac:dyDescent="0.15">
      <c r="A82" s="54" t="s">
        <v>46</v>
      </c>
      <c r="B82" s="254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</row>
    <row r="83" spans="1:71" s="54" customFormat="1" x14ac:dyDescent="0.15">
      <c r="A83" s="54" t="s">
        <v>46</v>
      </c>
      <c r="B83" s="254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</row>
    <row r="84" spans="1:71" s="54" customFormat="1" x14ac:dyDescent="0.15">
      <c r="A84" s="54" t="s">
        <v>46</v>
      </c>
      <c r="B84" s="254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</row>
    <row r="85" spans="1:71" s="54" customFormat="1" x14ac:dyDescent="0.15">
      <c r="A85" s="54" t="s">
        <v>46</v>
      </c>
      <c r="B85" s="254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</row>
  </sheetData>
  <pageMargins left="0.7" right="0.7" top="0.75" bottom="0.75" header="0.3" footer="0.3"/>
  <pageSetup scale="75" fitToWidth="0" fitToHeight="0"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FFFF00"/>
  </sheetPr>
  <dimension ref="A1:BS77"/>
  <sheetViews>
    <sheetView workbookViewId="0">
      <pane xSplit="6" ySplit="3" topLeftCell="G4" activePane="bottomRight" state="frozen"/>
      <selection activeCell="G40" sqref="G40"/>
      <selection pane="topRight" activeCell="G40" sqref="G40"/>
      <selection pane="bottomLeft" activeCell="G40" sqref="G40"/>
      <selection pane="bottomRight"/>
    </sheetView>
  </sheetViews>
  <sheetFormatPr baseColWidth="10" defaultColWidth="8.83203125" defaultRowHeight="13" x14ac:dyDescent="0.15"/>
  <cols>
    <col min="1" max="1" width="39.5" style="54" customWidth="1"/>
    <col min="2" max="2" width="8.83203125" style="54" customWidth="1"/>
    <col min="3" max="3" width="13" style="76" customWidth="1"/>
    <col min="4" max="7" width="13" style="54" customWidth="1"/>
    <col min="8" max="54" width="13" style="52" customWidth="1"/>
    <col min="55" max="16384" width="8.83203125" style="52"/>
  </cols>
  <sheetData>
    <row r="1" spans="1:71" s="32" customFormat="1" ht="18" x14ac:dyDescent="0.2">
      <c r="A1" s="138" t="str">
        <f>+Main!A1</f>
        <v>BobCo</v>
      </c>
      <c r="B1" s="27"/>
      <c r="C1" s="28" t="s">
        <v>48</v>
      </c>
      <c r="D1" s="29"/>
      <c r="E1" s="29"/>
      <c r="F1" s="29"/>
      <c r="G1" s="30" t="s">
        <v>56</v>
      </c>
      <c r="H1" s="31"/>
      <c r="I1" s="31"/>
      <c r="J1" s="31"/>
      <c r="K1" s="30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71" ht="16" x14ac:dyDescent="0.2">
      <c r="A2" s="332" t="s">
        <v>229</v>
      </c>
      <c r="B2" s="16"/>
      <c r="D2" s="33"/>
      <c r="E2" s="33"/>
      <c r="F2" s="33"/>
      <c r="G2" s="34">
        <f t="shared" ref="G2:BB2" si="0">YEAR(G3)</f>
        <v>2019</v>
      </c>
      <c r="H2" s="35">
        <f t="shared" si="0"/>
        <v>2019</v>
      </c>
      <c r="I2" s="35">
        <f t="shared" si="0"/>
        <v>2019</v>
      </c>
      <c r="J2" s="35">
        <f t="shared" si="0"/>
        <v>2019</v>
      </c>
      <c r="K2" s="35">
        <f t="shared" si="0"/>
        <v>2019</v>
      </c>
      <c r="L2" s="35">
        <f t="shared" si="0"/>
        <v>2019</v>
      </c>
      <c r="M2" s="35">
        <f t="shared" si="0"/>
        <v>2019</v>
      </c>
      <c r="N2" s="35">
        <f t="shared" si="0"/>
        <v>2019</v>
      </c>
      <c r="O2" s="35">
        <f t="shared" si="0"/>
        <v>2019</v>
      </c>
      <c r="P2" s="35">
        <f t="shared" si="0"/>
        <v>2019</v>
      </c>
      <c r="Q2" s="35">
        <f t="shared" si="0"/>
        <v>2019</v>
      </c>
      <c r="R2" s="35">
        <f t="shared" si="0"/>
        <v>2019</v>
      </c>
      <c r="S2" s="35">
        <f t="shared" si="0"/>
        <v>2020</v>
      </c>
      <c r="T2" s="35">
        <f t="shared" si="0"/>
        <v>2020</v>
      </c>
      <c r="U2" s="35">
        <f t="shared" si="0"/>
        <v>2020</v>
      </c>
      <c r="V2" s="35">
        <f t="shared" si="0"/>
        <v>2020</v>
      </c>
      <c r="W2" s="35">
        <f t="shared" si="0"/>
        <v>2020</v>
      </c>
      <c r="X2" s="35">
        <f t="shared" si="0"/>
        <v>2020</v>
      </c>
      <c r="Y2" s="35">
        <f t="shared" si="0"/>
        <v>2020</v>
      </c>
      <c r="Z2" s="35">
        <f t="shared" si="0"/>
        <v>2020</v>
      </c>
      <c r="AA2" s="35">
        <f t="shared" si="0"/>
        <v>2020</v>
      </c>
      <c r="AB2" s="35">
        <f t="shared" si="0"/>
        <v>2020</v>
      </c>
      <c r="AC2" s="35">
        <f t="shared" si="0"/>
        <v>2020</v>
      </c>
      <c r="AD2" s="35">
        <f t="shared" si="0"/>
        <v>2020</v>
      </c>
      <c r="AE2" s="35">
        <f t="shared" si="0"/>
        <v>2021</v>
      </c>
      <c r="AF2" s="35">
        <f t="shared" si="0"/>
        <v>2021</v>
      </c>
      <c r="AG2" s="35">
        <f t="shared" si="0"/>
        <v>2021</v>
      </c>
      <c r="AH2" s="35">
        <f t="shared" si="0"/>
        <v>2021</v>
      </c>
      <c r="AI2" s="35">
        <f t="shared" si="0"/>
        <v>2021</v>
      </c>
      <c r="AJ2" s="35">
        <f t="shared" si="0"/>
        <v>2021</v>
      </c>
      <c r="AK2" s="35">
        <f t="shared" si="0"/>
        <v>2021</v>
      </c>
      <c r="AL2" s="35">
        <f t="shared" si="0"/>
        <v>2021</v>
      </c>
      <c r="AM2" s="35">
        <f t="shared" si="0"/>
        <v>2021</v>
      </c>
      <c r="AN2" s="35">
        <f t="shared" si="0"/>
        <v>2021</v>
      </c>
      <c r="AO2" s="35">
        <f t="shared" si="0"/>
        <v>2021</v>
      </c>
      <c r="AP2" s="35">
        <f t="shared" si="0"/>
        <v>2021</v>
      </c>
      <c r="AQ2" s="35">
        <f t="shared" si="0"/>
        <v>2022</v>
      </c>
      <c r="AR2" s="35">
        <f t="shared" si="0"/>
        <v>2022</v>
      </c>
      <c r="AS2" s="35">
        <f t="shared" si="0"/>
        <v>2022</v>
      </c>
      <c r="AT2" s="35">
        <f t="shared" si="0"/>
        <v>2022</v>
      </c>
      <c r="AU2" s="35">
        <f t="shared" si="0"/>
        <v>2022</v>
      </c>
      <c r="AV2" s="35">
        <f t="shared" si="0"/>
        <v>2022</v>
      </c>
      <c r="AW2" s="35">
        <f t="shared" si="0"/>
        <v>2022</v>
      </c>
      <c r="AX2" s="35">
        <f t="shared" si="0"/>
        <v>2022</v>
      </c>
      <c r="AY2" s="35">
        <f t="shared" si="0"/>
        <v>2022</v>
      </c>
      <c r="AZ2" s="35">
        <f t="shared" si="0"/>
        <v>2022</v>
      </c>
      <c r="BA2" s="35">
        <f t="shared" si="0"/>
        <v>2022</v>
      </c>
      <c r="BB2" s="35">
        <f t="shared" si="0"/>
        <v>2022</v>
      </c>
    </row>
    <row r="3" spans="1:71" s="40" customFormat="1" x14ac:dyDescent="0.15">
      <c r="B3" s="36" t="s">
        <v>5</v>
      </c>
      <c r="C3" s="37">
        <f>YEAR(Main!$H$2)</f>
        <v>2019</v>
      </c>
      <c r="D3" s="38">
        <f>C3+1</f>
        <v>2020</v>
      </c>
      <c r="E3" s="38">
        <f t="shared" ref="E3:F3" si="1">D3+1</f>
        <v>2021</v>
      </c>
      <c r="F3" s="38">
        <f t="shared" si="1"/>
        <v>2022</v>
      </c>
      <c r="G3" s="39">
        <f>EOMONTH(Main!$H$2,0)</f>
        <v>43496</v>
      </c>
      <c r="H3" s="40">
        <f>EOMONTH(G3,1)</f>
        <v>43524</v>
      </c>
      <c r="I3" s="40">
        <f>EOMONTH(H3,1)</f>
        <v>43555</v>
      </c>
      <c r="J3" s="40">
        <f t="shared" ref="J3:BB3" si="2">EOMONTH(I3,1)</f>
        <v>43585</v>
      </c>
      <c r="K3" s="40">
        <f t="shared" si="2"/>
        <v>43616</v>
      </c>
      <c r="L3" s="40">
        <f t="shared" si="2"/>
        <v>43646</v>
      </c>
      <c r="M3" s="40">
        <f t="shared" si="2"/>
        <v>43677</v>
      </c>
      <c r="N3" s="40">
        <f t="shared" si="2"/>
        <v>43708</v>
      </c>
      <c r="O3" s="40">
        <f t="shared" si="2"/>
        <v>43738</v>
      </c>
      <c r="P3" s="40">
        <f t="shared" si="2"/>
        <v>43769</v>
      </c>
      <c r="Q3" s="40">
        <f t="shared" si="2"/>
        <v>43799</v>
      </c>
      <c r="R3" s="40">
        <f t="shared" si="2"/>
        <v>43830</v>
      </c>
      <c r="S3" s="40">
        <f t="shared" si="2"/>
        <v>43861</v>
      </c>
      <c r="T3" s="40">
        <f t="shared" si="2"/>
        <v>43890</v>
      </c>
      <c r="U3" s="40">
        <f t="shared" si="2"/>
        <v>43921</v>
      </c>
      <c r="V3" s="40">
        <f t="shared" si="2"/>
        <v>43951</v>
      </c>
      <c r="W3" s="40">
        <f t="shared" si="2"/>
        <v>43982</v>
      </c>
      <c r="X3" s="40">
        <f t="shared" si="2"/>
        <v>44012</v>
      </c>
      <c r="Y3" s="40">
        <f t="shared" si="2"/>
        <v>44043</v>
      </c>
      <c r="Z3" s="40">
        <f t="shared" si="2"/>
        <v>44074</v>
      </c>
      <c r="AA3" s="40">
        <f t="shared" si="2"/>
        <v>44104</v>
      </c>
      <c r="AB3" s="40">
        <f t="shared" si="2"/>
        <v>44135</v>
      </c>
      <c r="AC3" s="40">
        <f t="shared" si="2"/>
        <v>44165</v>
      </c>
      <c r="AD3" s="40">
        <f t="shared" si="2"/>
        <v>44196</v>
      </c>
      <c r="AE3" s="40">
        <f t="shared" si="2"/>
        <v>44227</v>
      </c>
      <c r="AF3" s="40">
        <f t="shared" si="2"/>
        <v>44255</v>
      </c>
      <c r="AG3" s="40">
        <f t="shared" si="2"/>
        <v>44286</v>
      </c>
      <c r="AH3" s="40">
        <f t="shared" si="2"/>
        <v>44316</v>
      </c>
      <c r="AI3" s="40">
        <f t="shared" si="2"/>
        <v>44347</v>
      </c>
      <c r="AJ3" s="40">
        <f t="shared" si="2"/>
        <v>44377</v>
      </c>
      <c r="AK3" s="40">
        <f t="shared" si="2"/>
        <v>44408</v>
      </c>
      <c r="AL3" s="40">
        <f t="shared" si="2"/>
        <v>44439</v>
      </c>
      <c r="AM3" s="40">
        <f t="shared" si="2"/>
        <v>44469</v>
      </c>
      <c r="AN3" s="40">
        <f t="shared" si="2"/>
        <v>44500</v>
      </c>
      <c r="AO3" s="40">
        <f t="shared" si="2"/>
        <v>44530</v>
      </c>
      <c r="AP3" s="40">
        <f t="shared" si="2"/>
        <v>44561</v>
      </c>
      <c r="AQ3" s="40">
        <f t="shared" si="2"/>
        <v>44592</v>
      </c>
      <c r="AR3" s="40">
        <f t="shared" si="2"/>
        <v>44620</v>
      </c>
      <c r="AS3" s="40">
        <f t="shared" si="2"/>
        <v>44651</v>
      </c>
      <c r="AT3" s="40">
        <f t="shared" si="2"/>
        <v>44681</v>
      </c>
      <c r="AU3" s="40">
        <f t="shared" si="2"/>
        <v>44712</v>
      </c>
      <c r="AV3" s="40">
        <f t="shared" si="2"/>
        <v>44742</v>
      </c>
      <c r="AW3" s="40">
        <f t="shared" si="2"/>
        <v>44773</v>
      </c>
      <c r="AX3" s="40">
        <f t="shared" si="2"/>
        <v>44804</v>
      </c>
      <c r="AY3" s="40">
        <f t="shared" si="2"/>
        <v>44834</v>
      </c>
      <c r="AZ3" s="40">
        <f t="shared" si="2"/>
        <v>44865</v>
      </c>
      <c r="BA3" s="40">
        <f t="shared" si="2"/>
        <v>44895</v>
      </c>
      <c r="BB3" s="40">
        <f t="shared" si="2"/>
        <v>44926</v>
      </c>
    </row>
    <row r="4" spans="1:71" s="192" customFormat="1" ht="16" x14ac:dyDescent="0.2">
      <c r="A4" s="193" t="s">
        <v>42</v>
      </c>
      <c r="B4" s="193"/>
      <c r="C4" s="210"/>
      <c r="D4" s="193"/>
      <c r="E4" s="193"/>
      <c r="F4" s="193"/>
      <c r="S4" s="204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</row>
    <row r="5" spans="1:71" x14ac:dyDescent="0.15">
      <c r="A5" s="86" t="s">
        <v>84</v>
      </c>
      <c r="C5" s="82"/>
      <c r="D5" s="77"/>
      <c r="E5" s="77"/>
      <c r="F5" s="77"/>
      <c r="G5" s="7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1" x14ac:dyDescent="0.15">
      <c r="A6" s="95" t="s">
        <v>74</v>
      </c>
      <c r="C6" s="82">
        <f ca="1">SUMIFS($G6:$BB6,$G$3:$BB$3,DATE(C$3,12,31))</f>
        <v>0</v>
      </c>
      <c r="D6" s="77">
        <f ca="1">SUMIFS($G6:$BB6,$G$3:$BB$3,DATE(D$3,12,31))</f>
        <v>2</v>
      </c>
      <c r="E6" s="77">
        <f ca="1">SUMIFS($G6:$BB6,$G$3:$BB$3,DATE(E$3,12,31))</f>
        <v>4</v>
      </c>
      <c r="F6" s="77">
        <f ca="1">SUMIFS($G6:$BB6,$G$3:$BB$3,DATE(F$3,12,31))</f>
        <v>6</v>
      </c>
      <c r="G6" s="77">
        <f>IFERROR(ROUND(Sales!G42*12/INDEX(Main!$C$65:$F$65,G$2-YEAR(Main!$H$2)+1),0),0)</f>
        <v>0</v>
      </c>
      <c r="H6" s="80">
        <f ca="1">IFERROR(ROUND(Sales!H42*12/INDEX(Main!$C$65:$F$65,H$2-YEAR(Main!$H$2)+1),0),0)</f>
        <v>0</v>
      </c>
      <c r="I6" s="80">
        <f ca="1">IFERROR(ROUND(Sales!I42*12/INDEX(Main!$C$65:$F$65,I$2-YEAR(Main!$H$2)+1),0),0)</f>
        <v>0</v>
      </c>
      <c r="J6" s="80">
        <f ca="1">IFERROR(ROUND(Sales!J42*12/INDEX(Main!$C$65:$F$65,J$2-YEAR(Main!$H$2)+1),0),0)</f>
        <v>0</v>
      </c>
      <c r="K6" s="80">
        <f ca="1">IFERROR(ROUND(Sales!K42*12/INDEX(Main!$C$65:$F$65,K$2-YEAR(Main!$H$2)+1),0),0)</f>
        <v>0</v>
      </c>
      <c r="L6" s="80">
        <f ca="1">IFERROR(ROUND(Sales!L42*12/INDEX(Main!$C$65:$F$65,L$2-YEAR(Main!$H$2)+1),0),0)</f>
        <v>0</v>
      </c>
      <c r="M6" s="80">
        <f ca="1">IFERROR(ROUND(Sales!M42*12/INDEX(Main!$C$65:$F$65,M$2-YEAR(Main!$H$2)+1),0),0)</f>
        <v>0</v>
      </c>
      <c r="N6" s="80">
        <f ca="1">IFERROR(ROUND(Sales!N42*12/INDEX(Main!$C$65:$F$65,N$2-YEAR(Main!$H$2)+1),0),0)</f>
        <v>0</v>
      </c>
      <c r="O6" s="80">
        <f ca="1">IFERROR(ROUND(Sales!O42*12/INDEX(Main!$C$65:$F$65,O$2-YEAR(Main!$H$2)+1),0),0)</f>
        <v>0</v>
      </c>
      <c r="P6" s="80">
        <f ca="1">IFERROR(ROUND(Sales!P42*12/INDEX(Main!$C$65:$F$65,P$2-YEAR(Main!$H$2)+1),0),0)</f>
        <v>0</v>
      </c>
      <c r="Q6" s="80">
        <f ca="1">IFERROR(ROUND(Sales!Q42*12/INDEX(Main!$C$65:$F$65,Q$2-YEAR(Main!$H$2)+1),0),0)</f>
        <v>0</v>
      </c>
      <c r="R6" s="80">
        <f ca="1">IFERROR(ROUND(Sales!R42*12/INDEX(Main!$C$65:$F$65,R$2-YEAR(Main!$H$2)+1),0),0)</f>
        <v>0</v>
      </c>
      <c r="S6" s="80">
        <f ca="1">IFERROR(ROUND(Sales!S42*12/INDEX(Main!$C$65:$F$65,S$2-YEAR(Main!$H$2)+1),0),0)</f>
        <v>1</v>
      </c>
      <c r="T6" s="80">
        <f ca="1">IFERROR(ROUND(Sales!T42*12/INDEX(Main!$C$65:$F$65,T$2-YEAR(Main!$H$2)+1),0),0)</f>
        <v>1</v>
      </c>
      <c r="U6" s="80">
        <f ca="1">IFERROR(ROUND(Sales!U42*12/INDEX(Main!$C$65:$F$65,U$2-YEAR(Main!$H$2)+1),0),0)</f>
        <v>1</v>
      </c>
      <c r="V6" s="80">
        <f ca="1">IFERROR(ROUND(Sales!V42*12/INDEX(Main!$C$65:$F$65,V$2-YEAR(Main!$H$2)+1),0),0)</f>
        <v>1</v>
      </c>
      <c r="W6" s="80">
        <f ca="1">IFERROR(ROUND(Sales!W42*12/INDEX(Main!$C$65:$F$65,W$2-YEAR(Main!$H$2)+1),0),0)</f>
        <v>1</v>
      </c>
      <c r="X6" s="80">
        <f ca="1">IFERROR(ROUND(Sales!X42*12/INDEX(Main!$C$65:$F$65,X$2-YEAR(Main!$H$2)+1),0),0)</f>
        <v>1</v>
      </c>
      <c r="Y6" s="80">
        <f ca="1">IFERROR(ROUND(Sales!Y42*12/INDEX(Main!$C$65:$F$65,Y$2-YEAR(Main!$H$2)+1),0),0)</f>
        <v>2</v>
      </c>
      <c r="Z6" s="80">
        <f ca="1">IFERROR(ROUND(Sales!Z42*12/INDEX(Main!$C$65:$F$65,Z$2-YEAR(Main!$H$2)+1),0),0)</f>
        <v>2</v>
      </c>
      <c r="AA6" s="80">
        <f ca="1">IFERROR(ROUND(Sales!AA42*12/INDEX(Main!$C$65:$F$65,AA$2-YEAR(Main!$H$2)+1),0),0)</f>
        <v>2</v>
      </c>
      <c r="AB6" s="80">
        <f ca="1">IFERROR(ROUND(Sales!AB42*12/INDEX(Main!$C$65:$F$65,AB$2-YEAR(Main!$H$2)+1),0),0)</f>
        <v>2</v>
      </c>
      <c r="AC6" s="80">
        <f ca="1">IFERROR(ROUND(Sales!AC42*12/INDEX(Main!$C$65:$F$65,AC$2-YEAR(Main!$H$2)+1),0),0)</f>
        <v>2</v>
      </c>
      <c r="AD6" s="80">
        <f ca="1">IFERROR(ROUND(Sales!AD42*12/INDEX(Main!$C$65:$F$65,AD$2-YEAR(Main!$H$2)+1),0),0)</f>
        <v>2</v>
      </c>
      <c r="AE6" s="80">
        <f ca="1">IFERROR(ROUND(Sales!AE42*12/INDEX(Main!$C$65:$F$65,AE$2-YEAR(Main!$H$2)+1),0),0)</f>
        <v>2</v>
      </c>
      <c r="AF6" s="80">
        <f ca="1">IFERROR(ROUND(Sales!AF42*12/INDEX(Main!$C$65:$F$65,AF$2-YEAR(Main!$H$2)+1),0),0)</f>
        <v>2</v>
      </c>
      <c r="AG6" s="80">
        <f ca="1">IFERROR(ROUND(Sales!AG42*12/INDEX(Main!$C$65:$F$65,AG$2-YEAR(Main!$H$2)+1),0),0)</f>
        <v>2</v>
      </c>
      <c r="AH6" s="80">
        <f ca="1">IFERROR(ROUND(Sales!AH42*12/INDEX(Main!$C$65:$F$65,AH$2-YEAR(Main!$H$2)+1),0),0)</f>
        <v>3</v>
      </c>
      <c r="AI6" s="80">
        <f ca="1">IFERROR(ROUND(Sales!AI42*12/INDEX(Main!$C$65:$F$65,AI$2-YEAR(Main!$H$2)+1),0),0)</f>
        <v>3</v>
      </c>
      <c r="AJ6" s="80">
        <f ca="1">IFERROR(ROUND(Sales!AJ42*12/INDEX(Main!$C$65:$F$65,AJ$2-YEAR(Main!$H$2)+1),0),0)</f>
        <v>3</v>
      </c>
      <c r="AK6" s="80">
        <f ca="1">IFERROR(ROUND(Sales!AK42*12/INDEX(Main!$C$65:$F$65,AK$2-YEAR(Main!$H$2)+1),0),0)</f>
        <v>3</v>
      </c>
      <c r="AL6" s="80">
        <f ca="1">IFERROR(ROUND(Sales!AL42*12/INDEX(Main!$C$65:$F$65,AL$2-YEAR(Main!$H$2)+1),0),0)</f>
        <v>3</v>
      </c>
      <c r="AM6" s="80">
        <f ca="1">IFERROR(ROUND(Sales!AM42*12/INDEX(Main!$C$65:$F$65,AM$2-YEAR(Main!$H$2)+1),0),0)</f>
        <v>3</v>
      </c>
      <c r="AN6" s="80">
        <f ca="1">IFERROR(ROUND(Sales!AN42*12/INDEX(Main!$C$65:$F$65,AN$2-YEAR(Main!$H$2)+1),0),0)</f>
        <v>4</v>
      </c>
      <c r="AO6" s="80">
        <f ca="1">IFERROR(ROUND(Sales!AO42*12/INDEX(Main!$C$65:$F$65,AO$2-YEAR(Main!$H$2)+1),0),0)</f>
        <v>4</v>
      </c>
      <c r="AP6" s="80">
        <f ca="1">IFERROR(ROUND(Sales!AP42*12/INDEX(Main!$C$65:$F$65,AP$2-YEAR(Main!$H$2)+1),0),0)</f>
        <v>4</v>
      </c>
      <c r="AQ6" s="80">
        <f ca="1">IFERROR(ROUND(Sales!AQ42*12/INDEX(Main!$C$65:$F$65,AQ$2-YEAR(Main!$H$2)+1),0),0)</f>
        <v>3</v>
      </c>
      <c r="AR6" s="80">
        <f ca="1">IFERROR(ROUND(Sales!AR42*12/INDEX(Main!$C$65:$F$65,AR$2-YEAR(Main!$H$2)+1),0),0)</f>
        <v>3</v>
      </c>
      <c r="AS6" s="80">
        <f ca="1">IFERROR(ROUND(Sales!AS42*12/INDEX(Main!$C$65:$F$65,AS$2-YEAR(Main!$H$2)+1),0),0)</f>
        <v>4</v>
      </c>
      <c r="AT6" s="80">
        <f ca="1">IFERROR(ROUND(Sales!AT42*12/INDEX(Main!$C$65:$F$65,AT$2-YEAR(Main!$H$2)+1),0),0)</f>
        <v>4</v>
      </c>
      <c r="AU6" s="80">
        <f ca="1">IFERROR(ROUND(Sales!AU42*12/INDEX(Main!$C$65:$F$65,AU$2-YEAR(Main!$H$2)+1),0),0)</f>
        <v>4</v>
      </c>
      <c r="AV6" s="80">
        <f ca="1">IFERROR(ROUND(Sales!AV42*12/INDEX(Main!$C$65:$F$65,AV$2-YEAR(Main!$H$2)+1),0),0)</f>
        <v>5</v>
      </c>
      <c r="AW6" s="80">
        <f ca="1">IFERROR(ROUND(Sales!AW42*12/INDEX(Main!$C$65:$F$65,AW$2-YEAR(Main!$H$2)+1),0),0)</f>
        <v>5</v>
      </c>
      <c r="AX6" s="80">
        <f ca="1">IFERROR(ROUND(Sales!AX42*12/INDEX(Main!$C$65:$F$65,AX$2-YEAR(Main!$H$2)+1),0),0)</f>
        <v>5</v>
      </c>
      <c r="AY6" s="80">
        <f ca="1">IFERROR(ROUND(Sales!AY42*12/INDEX(Main!$C$65:$F$65,AY$2-YEAR(Main!$H$2)+1),0),0)</f>
        <v>5</v>
      </c>
      <c r="AZ6" s="80">
        <f ca="1">IFERROR(ROUND(Sales!AZ42*12/INDEX(Main!$C$65:$F$65,AZ$2-YEAR(Main!$H$2)+1),0),0)</f>
        <v>6</v>
      </c>
      <c r="BA6" s="80">
        <f ca="1">IFERROR(ROUND(Sales!BA42*12/INDEX(Main!$C$65:$F$65,BA$2-YEAR(Main!$H$2)+1),0),0)</f>
        <v>6</v>
      </c>
      <c r="BB6" s="80">
        <f ca="1">IFERROR(ROUND(Sales!BB42*12/INDEX(Main!$C$65:$F$65,BB$2-YEAR(Main!$H$2)+1),0),0)</f>
        <v>6</v>
      </c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x14ac:dyDescent="0.15">
      <c r="A7" s="95" t="s">
        <v>60</v>
      </c>
      <c r="C7" s="82">
        <f t="shared" ref="C7:F11" si="3">SUMIFS($G7:$BB7,$G$3:$BB$3,DATE(C$3,12,31))</f>
        <v>3</v>
      </c>
      <c r="D7" s="77">
        <f t="shared" si="3"/>
        <v>8</v>
      </c>
      <c r="E7" s="77">
        <f t="shared" si="3"/>
        <v>12</v>
      </c>
      <c r="F7" s="77">
        <f t="shared" si="3"/>
        <v>13</v>
      </c>
      <c r="G7" s="77">
        <f>VLOOKUP(G$2,Main!$B$52:$F$55,ROUNDUP(MONTH(G$3)/3,0)+1,0)</f>
        <v>2</v>
      </c>
      <c r="H7" s="77">
        <f>VLOOKUP(H$2,Main!$B$52:$F$55,ROUNDUP(MONTH(H$3)/3,0)+1,0)</f>
        <v>2</v>
      </c>
      <c r="I7" s="77">
        <f>VLOOKUP(I$2,Main!$B$52:$F$55,ROUNDUP(MONTH(I$3)/3,0)+1,0)</f>
        <v>2</v>
      </c>
      <c r="J7" s="77">
        <f>VLOOKUP(J$2,Main!$B$52:$F$55,ROUNDUP(MONTH(J$3)/3,0)+1,0)</f>
        <v>2</v>
      </c>
      <c r="K7" s="77">
        <f>VLOOKUP(K$2,Main!$B$52:$F$55,ROUNDUP(MONTH(K$3)/3,0)+1,0)</f>
        <v>2</v>
      </c>
      <c r="L7" s="80">
        <f>VLOOKUP(L$2,Main!$B$52:$F$55,ROUNDUP(MONTH(L$3)/3,0)+1,0)</f>
        <v>2</v>
      </c>
      <c r="M7" s="80">
        <f>VLOOKUP(M$2,Main!$B$52:$F$55,ROUNDUP(MONTH(M$3)/3,0)+1,0)</f>
        <v>3</v>
      </c>
      <c r="N7" s="80">
        <f>VLOOKUP(N$2,Main!$B$52:$F$55,ROUNDUP(MONTH(N$3)/3,0)+1,0)</f>
        <v>3</v>
      </c>
      <c r="O7" s="80">
        <f>VLOOKUP(O$2,Main!$B$52:$F$55,ROUNDUP(MONTH(O$3)/3,0)+1,0)</f>
        <v>3</v>
      </c>
      <c r="P7" s="80">
        <f>VLOOKUP(P$2,Main!$B$52:$F$55,ROUNDUP(MONTH(P$3)/3,0)+1,0)</f>
        <v>3</v>
      </c>
      <c r="Q7" s="80">
        <f>VLOOKUP(Q$2,Main!$B$52:$F$55,ROUNDUP(MONTH(Q$3)/3,0)+1,0)</f>
        <v>3</v>
      </c>
      <c r="R7" s="80">
        <f>VLOOKUP(R$2,Main!$B$52:$F$55,ROUNDUP(MONTH(R$3)/3,0)+1,0)</f>
        <v>3</v>
      </c>
      <c r="S7" s="80">
        <f>VLOOKUP(S$2,Main!$B$52:$F$55,ROUNDUP(MONTH(S$3)/3,0)+1,0)</f>
        <v>5</v>
      </c>
      <c r="T7" s="80">
        <f>VLOOKUP(T$2,Main!$B$52:$F$55,ROUNDUP(MONTH(T$3)/3,0)+1,0)</f>
        <v>5</v>
      </c>
      <c r="U7" s="80">
        <f>VLOOKUP(U$2,Main!$B$52:$F$55,ROUNDUP(MONTH(U$3)/3,0)+1,0)</f>
        <v>5</v>
      </c>
      <c r="V7" s="80">
        <f>VLOOKUP(V$2,Main!$B$52:$F$55,ROUNDUP(MONTH(V$3)/3,0)+1,0)</f>
        <v>6</v>
      </c>
      <c r="W7" s="80">
        <f>VLOOKUP(W$2,Main!$B$52:$F$55,ROUNDUP(MONTH(W$3)/3,0)+1,0)</f>
        <v>6</v>
      </c>
      <c r="X7" s="80">
        <f>VLOOKUP(X$2,Main!$B$52:$F$55,ROUNDUP(MONTH(X$3)/3,0)+1,0)</f>
        <v>6</v>
      </c>
      <c r="Y7" s="80">
        <f>VLOOKUP(Y$2,Main!$B$52:$F$55,ROUNDUP(MONTH(Y$3)/3,0)+1,0)</f>
        <v>7</v>
      </c>
      <c r="Z7" s="80">
        <f>VLOOKUP(Z$2,Main!$B$52:$F$55,ROUNDUP(MONTH(Z$3)/3,0)+1,0)</f>
        <v>7</v>
      </c>
      <c r="AA7" s="80">
        <f>VLOOKUP(AA$2,Main!$B$52:$F$55,ROUNDUP(MONTH(AA$3)/3,0)+1,0)</f>
        <v>7</v>
      </c>
      <c r="AB7" s="80">
        <f>VLOOKUP(AB$2,Main!$B$52:$F$55,ROUNDUP(MONTH(AB$3)/3,0)+1,0)</f>
        <v>8</v>
      </c>
      <c r="AC7" s="80">
        <f>VLOOKUP(AC$2,Main!$B$52:$F$55,ROUNDUP(MONTH(AC$3)/3,0)+1,0)</f>
        <v>8</v>
      </c>
      <c r="AD7" s="80">
        <f>VLOOKUP(AD$2,Main!$B$52:$F$55,ROUNDUP(MONTH(AD$3)/3,0)+1,0)</f>
        <v>8</v>
      </c>
      <c r="AE7" s="80">
        <f>VLOOKUP(AE$2,Main!$B$52:$F$55,ROUNDUP(MONTH(AE$3)/3,0)+1,0)</f>
        <v>9</v>
      </c>
      <c r="AF7" s="80">
        <f>VLOOKUP(AF$2,Main!$B$52:$F$55,ROUNDUP(MONTH(AF$3)/3,0)+1,0)</f>
        <v>9</v>
      </c>
      <c r="AG7" s="80">
        <f>VLOOKUP(AG$2,Main!$B$52:$F$55,ROUNDUP(MONTH(AG$3)/3,0)+1,0)</f>
        <v>9</v>
      </c>
      <c r="AH7" s="80">
        <f>VLOOKUP(AH$2,Main!$B$52:$F$55,ROUNDUP(MONTH(AH$3)/3,0)+1,0)</f>
        <v>10</v>
      </c>
      <c r="AI7" s="80">
        <f>VLOOKUP(AI$2,Main!$B$52:$F$55,ROUNDUP(MONTH(AI$3)/3,0)+1,0)</f>
        <v>10</v>
      </c>
      <c r="AJ7" s="80">
        <f>VLOOKUP(AJ$2,Main!$B$52:$F$55,ROUNDUP(MONTH(AJ$3)/3,0)+1,0)</f>
        <v>10</v>
      </c>
      <c r="AK7" s="80">
        <f>VLOOKUP(AK$2,Main!$B$52:$F$55,ROUNDUP(MONTH(AK$3)/3,0)+1,0)</f>
        <v>11</v>
      </c>
      <c r="AL7" s="80">
        <f>VLOOKUP(AL$2,Main!$B$52:$F$55,ROUNDUP(MONTH(AL$3)/3,0)+1,0)</f>
        <v>11</v>
      </c>
      <c r="AM7" s="80">
        <f>VLOOKUP(AM$2,Main!$B$52:$F$55,ROUNDUP(MONTH(AM$3)/3,0)+1,0)</f>
        <v>11</v>
      </c>
      <c r="AN7" s="80">
        <f>VLOOKUP(AN$2,Main!$B$52:$F$55,ROUNDUP(MONTH(AN$3)/3,0)+1,0)</f>
        <v>12</v>
      </c>
      <c r="AO7" s="80">
        <f>VLOOKUP(AO$2,Main!$B$52:$F$55,ROUNDUP(MONTH(AO$3)/3,0)+1,0)</f>
        <v>12</v>
      </c>
      <c r="AP7" s="80">
        <f>VLOOKUP(AP$2,Main!$B$52:$F$55,ROUNDUP(MONTH(AP$3)/3,0)+1,0)</f>
        <v>12</v>
      </c>
      <c r="AQ7" s="80">
        <f>VLOOKUP(AQ$2,Main!$B$52:$F$55,ROUNDUP(MONTH(AQ$3)/3,0)+1,0)</f>
        <v>13</v>
      </c>
      <c r="AR7" s="80">
        <f>VLOOKUP(AR$2,Main!$B$52:$F$55,ROUNDUP(MONTH(AR$3)/3,0)+1,0)</f>
        <v>13</v>
      </c>
      <c r="AS7" s="80">
        <f>VLOOKUP(AS$2,Main!$B$52:$F$55,ROUNDUP(MONTH(AS$3)/3,0)+1,0)</f>
        <v>13</v>
      </c>
      <c r="AT7" s="80">
        <f>VLOOKUP(AT$2,Main!$B$52:$F$55,ROUNDUP(MONTH(AT$3)/3,0)+1,0)</f>
        <v>13</v>
      </c>
      <c r="AU7" s="80">
        <f>VLOOKUP(AU$2,Main!$B$52:$F$55,ROUNDUP(MONTH(AU$3)/3,0)+1,0)</f>
        <v>13</v>
      </c>
      <c r="AV7" s="80">
        <f>VLOOKUP(AV$2,Main!$B$52:$F$55,ROUNDUP(MONTH(AV$3)/3,0)+1,0)</f>
        <v>13</v>
      </c>
      <c r="AW7" s="80">
        <f>VLOOKUP(AW$2,Main!$B$52:$F$55,ROUNDUP(MONTH(AW$3)/3,0)+1,0)</f>
        <v>13</v>
      </c>
      <c r="AX7" s="80">
        <f>VLOOKUP(AX$2,Main!$B$52:$F$55,ROUNDUP(MONTH(AX$3)/3,0)+1,0)</f>
        <v>13</v>
      </c>
      <c r="AY7" s="80">
        <f>VLOOKUP(AY$2,Main!$B$52:$F$55,ROUNDUP(MONTH(AY$3)/3,0)+1,0)</f>
        <v>13</v>
      </c>
      <c r="AZ7" s="80">
        <f>VLOOKUP(AZ$2,Main!$B$52:$F$55,ROUNDUP(MONTH(AZ$3)/3,0)+1,0)</f>
        <v>13</v>
      </c>
      <c r="BA7" s="80">
        <f>VLOOKUP(BA$2,Main!$B$52:$F$55,ROUNDUP(MONTH(BA$3)/3,0)+1,0)</f>
        <v>13</v>
      </c>
      <c r="BB7" s="80">
        <f>VLOOKUP(BB$2,Main!$B$52:$F$55,ROUNDUP(MONTH(BB$3)/3,0)+1,0)</f>
        <v>13</v>
      </c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x14ac:dyDescent="0.15">
      <c r="A8" s="95" t="s">
        <v>61</v>
      </c>
      <c r="C8" s="82">
        <f t="shared" ca="1" si="3"/>
        <v>0</v>
      </c>
      <c r="D8" s="80">
        <f t="shared" ca="1" si="3"/>
        <v>1</v>
      </c>
      <c r="E8" s="80">
        <f t="shared" ca="1" si="3"/>
        <v>1</v>
      </c>
      <c r="F8" s="80">
        <f t="shared" ca="1" si="3"/>
        <v>4</v>
      </c>
      <c r="G8" s="77">
        <f>IFERROR(ROUND(INDEX(Main!$C$66:$F$66,G$2-YEAR(Main!$H$2)+1)*Sales!G42/1000/30/INDEX(Main!$C$67:$F$67,G$2-YEAR(Main!$H$2)+1),0),0)</f>
        <v>0</v>
      </c>
      <c r="H8" s="80">
        <f ca="1">IFERROR(ROUND(INDEX(Main!$C$66:$F$66,H$2-YEAR(Main!$H$2)+1)*Sales!H42/1000/30/INDEX(Main!$C$67:$F$67,H$2-YEAR(Main!$H$2)+1),0),0)</f>
        <v>0</v>
      </c>
      <c r="I8" s="80">
        <f ca="1">IFERROR(ROUND(INDEX(Main!$C$66:$F$66,I$2-YEAR(Main!$H$2)+1)*Sales!I42/1000/30/INDEX(Main!$C$67:$F$67,I$2-YEAR(Main!$H$2)+1),0),0)</f>
        <v>0</v>
      </c>
      <c r="J8" s="80">
        <f ca="1">IFERROR(ROUND(INDEX(Main!$C$66:$F$66,J$2-YEAR(Main!$H$2)+1)*Sales!J42/1000/30/INDEX(Main!$C$67:$F$67,J$2-YEAR(Main!$H$2)+1),0),0)</f>
        <v>0</v>
      </c>
      <c r="K8" s="80">
        <f ca="1">IFERROR(ROUND(INDEX(Main!$C$66:$F$66,K$2-YEAR(Main!$H$2)+1)*Sales!K42/1000/30/INDEX(Main!$C$67:$F$67,K$2-YEAR(Main!$H$2)+1),0),0)</f>
        <v>0</v>
      </c>
      <c r="L8" s="80">
        <f ca="1">IFERROR(ROUND(INDEX(Main!$C$66:$F$66,L$2-YEAR(Main!$H$2)+1)*Sales!L42/1000/30/INDEX(Main!$C$67:$F$67,L$2-YEAR(Main!$H$2)+1),0),0)</f>
        <v>0</v>
      </c>
      <c r="M8" s="80">
        <f ca="1">IFERROR(ROUND(INDEX(Main!$C$66:$F$66,M$2-YEAR(Main!$H$2)+1)*Sales!M42/1000/30/INDEX(Main!$C$67:$F$67,M$2-YEAR(Main!$H$2)+1),0),0)</f>
        <v>0</v>
      </c>
      <c r="N8" s="80">
        <f ca="1">IFERROR(ROUND(INDEX(Main!$C$66:$F$66,N$2-YEAR(Main!$H$2)+1)*Sales!N42/1000/30/INDEX(Main!$C$67:$F$67,N$2-YEAR(Main!$H$2)+1),0),0)</f>
        <v>0</v>
      </c>
      <c r="O8" s="80">
        <f ca="1">IFERROR(ROUND(INDEX(Main!$C$66:$F$66,O$2-YEAR(Main!$H$2)+1)*Sales!O42/1000/30/INDEX(Main!$C$67:$F$67,O$2-YEAR(Main!$H$2)+1),0),0)</f>
        <v>0</v>
      </c>
      <c r="P8" s="80">
        <f ca="1">IFERROR(ROUND(INDEX(Main!$C$66:$F$66,P$2-YEAR(Main!$H$2)+1)*Sales!P42/1000/30/INDEX(Main!$C$67:$F$67,P$2-YEAR(Main!$H$2)+1),0),0)</f>
        <v>0</v>
      </c>
      <c r="Q8" s="80">
        <f ca="1">IFERROR(ROUND(INDEX(Main!$C$66:$F$66,Q$2-YEAR(Main!$H$2)+1)*Sales!Q42/1000/30/INDEX(Main!$C$67:$F$67,Q$2-YEAR(Main!$H$2)+1),0),0)</f>
        <v>0</v>
      </c>
      <c r="R8" s="80">
        <f ca="1">IFERROR(ROUND(INDEX(Main!$C$66:$F$66,R$2-YEAR(Main!$H$2)+1)*Sales!R42/1000/30/INDEX(Main!$C$67:$F$67,R$2-YEAR(Main!$H$2)+1),0),0)</f>
        <v>0</v>
      </c>
      <c r="S8" s="80">
        <f ca="1">IFERROR(ROUND(INDEX(Main!$C$66:$F$66,S$2-YEAR(Main!$H$2)+1)*Sales!S42/1000/30/INDEX(Main!$C$67:$F$67,S$2-YEAR(Main!$H$2)+1),0),0)</f>
        <v>0</v>
      </c>
      <c r="T8" s="80">
        <f ca="1">IFERROR(ROUND(INDEX(Main!$C$66:$F$66,T$2-YEAR(Main!$H$2)+1)*Sales!T42/1000/30/INDEX(Main!$C$67:$F$67,T$2-YEAR(Main!$H$2)+1),0),0)</f>
        <v>0</v>
      </c>
      <c r="U8" s="80">
        <f ca="1">IFERROR(ROUND(INDEX(Main!$C$66:$F$66,U$2-YEAR(Main!$H$2)+1)*Sales!U42/1000/30/INDEX(Main!$C$67:$F$67,U$2-YEAR(Main!$H$2)+1),0),0)</f>
        <v>0</v>
      </c>
      <c r="V8" s="80">
        <f ca="1">IFERROR(ROUND(INDEX(Main!$C$66:$F$66,V$2-YEAR(Main!$H$2)+1)*Sales!V42/1000/30/INDEX(Main!$C$67:$F$67,V$2-YEAR(Main!$H$2)+1),0),0)</f>
        <v>0</v>
      </c>
      <c r="W8" s="80">
        <f ca="1">IFERROR(ROUND(INDEX(Main!$C$66:$F$66,W$2-YEAR(Main!$H$2)+1)*Sales!W42/1000/30/INDEX(Main!$C$67:$F$67,W$2-YEAR(Main!$H$2)+1),0),0)</f>
        <v>0</v>
      </c>
      <c r="X8" s="80">
        <f ca="1">IFERROR(ROUND(INDEX(Main!$C$66:$F$66,X$2-YEAR(Main!$H$2)+1)*Sales!X42/1000/30/INDEX(Main!$C$67:$F$67,X$2-YEAR(Main!$H$2)+1),0),0)</f>
        <v>0</v>
      </c>
      <c r="Y8" s="80">
        <f ca="1">IFERROR(ROUND(INDEX(Main!$C$66:$F$66,Y$2-YEAR(Main!$H$2)+1)*Sales!Y42/1000/30/INDEX(Main!$C$67:$F$67,Y$2-YEAR(Main!$H$2)+1),0),0)</f>
        <v>0</v>
      </c>
      <c r="Z8" s="80">
        <f ca="1">IFERROR(ROUND(INDEX(Main!$C$66:$F$66,Z$2-YEAR(Main!$H$2)+1)*Sales!Z42/1000/30/INDEX(Main!$C$67:$F$67,Z$2-YEAR(Main!$H$2)+1),0),0)</f>
        <v>0</v>
      </c>
      <c r="AA8" s="80">
        <f ca="1">IFERROR(ROUND(INDEX(Main!$C$66:$F$66,AA$2-YEAR(Main!$H$2)+1)*Sales!AA42/1000/30/INDEX(Main!$C$67:$F$67,AA$2-YEAR(Main!$H$2)+1),0),0)</f>
        <v>0</v>
      </c>
      <c r="AB8" s="80">
        <f ca="1">IFERROR(ROUND(INDEX(Main!$C$66:$F$66,AB$2-YEAR(Main!$H$2)+1)*Sales!AB42/1000/30/INDEX(Main!$C$67:$F$67,AB$2-YEAR(Main!$H$2)+1),0),0)</f>
        <v>1</v>
      </c>
      <c r="AC8" s="80">
        <f ca="1">IFERROR(ROUND(INDEX(Main!$C$66:$F$66,AC$2-YEAR(Main!$H$2)+1)*Sales!AC42/1000/30/INDEX(Main!$C$67:$F$67,AC$2-YEAR(Main!$H$2)+1),0),0)</f>
        <v>1</v>
      </c>
      <c r="AD8" s="80">
        <f ca="1">IFERROR(ROUND(INDEX(Main!$C$66:$F$66,AD$2-YEAR(Main!$H$2)+1)*Sales!AD42/1000/30/INDEX(Main!$C$67:$F$67,AD$2-YEAR(Main!$H$2)+1),0),0)</f>
        <v>1</v>
      </c>
      <c r="AE8" s="80">
        <f ca="1">IFERROR(ROUND(INDEX(Main!$C$66:$F$66,AE$2-YEAR(Main!$H$2)+1)*Sales!AE42/1000/30/INDEX(Main!$C$67:$F$67,AE$2-YEAR(Main!$H$2)+1),0),0)</f>
        <v>1</v>
      </c>
      <c r="AF8" s="80">
        <f ca="1">IFERROR(ROUND(INDEX(Main!$C$66:$F$66,AF$2-YEAR(Main!$H$2)+1)*Sales!AF42/1000/30/INDEX(Main!$C$67:$F$67,AF$2-YEAR(Main!$H$2)+1),0),0)</f>
        <v>1</v>
      </c>
      <c r="AG8" s="80">
        <f ca="1">IFERROR(ROUND(INDEX(Main!$C$66:$F$66,AG$2-YEAR(Main!$H$2)+1)*Sales!AG42/1000/30/INDEX(Main!$C$67:$F$67,AG$2-YEAR(Main!$H$2)+1),0),0)</f>
        <v>1</v>
      </c>
      <c r="AH8" s="80">
        <f ca="1">IFERROR(ROUND(INDEX(Main!$C$66:$F$66,AH$2-YEAR(Main!$H$2)+1)*Sales!AH42/1000/30/INDEX(Main!$C$67:$F$67,AH$2-YEAR(Main!$H$2)+1),0),0)</f>
        <v>1</v>
      </c>
      <c r="AI8" s="80">
        <f ca="1">IFERROR(ROUND(INDEX(Main!$C$66:$F$66,AI$2-YEAR(Main!$H$2)+1)*Sales!AI42/1000/30/INDEX(Main!$C$67:$F$67,AI$2-YEAR(Main!$H$2)+1),0),0)</f>
        <v>1</v>
      </c>
      <c r="AJ8" s="80">
        <f ca="1">IFERROR(ROUND(INDEX(Main!$C$66:$F$66,AJ$2-YEAR(Main!$H$2)+1)*Sales!AJ42/1000/30/INDEX(Main!$C$67:$F$67,AJ$2-YEAR(Main!$H$2)+1),0),0)</f>
        <v>1</v>
      </c>
      <c r="AK8" s="80">
        <f ca="1">IFERROR(ROUND(INDEX(Main!$C$66:$F$66,AK$2-YEAR(Main!$H$2)+1)*Sales!AK42/1000/30/INDEX(Main!$C$67:$F$67,AK$2-YEAR(Main!$H$2)+1),0),0)</f>
        <v>1</v>
      </c>
      <c r="AL8" s="80">
        <f ca="1">IFERROR(ROUND(INDEX(Main!$C$66:$F$66,AL$2-YEAR(Main!$H$2)+1)*Sales!AL42/1000/30/INDEX(Main!$C$67:$F$67,AL$2-YEAR(Main!$H$2)+1),0),0)</f>
        <v>1</v>
      </c>
      <c r="AM8" s="80">
        <f ca="1">IFERROR(ROUND(INDEX(Main!$C$66:$F$66,AM$2-YEAR(Main!$H$2)+1)*Sales!AM42/1000/30/INDEX(Main!$C$67:$F$67,AM$2-YEAR(Main!$H$2)+1),0),0)</f>
        <v>1</v>
      </c>
      <c r="AN8" s="80">
        <f ca="1">IFERROR(ROUND(INDEX(Main!$C$66:$F$66,AN$2-YEAR(Main!$H$2)+1)*Sales!AN42/1000/30/INDEX(Main!$C$67:$F$67,AN$2-YEAR(Main!$H$2)+1),0),0)</f>
        <v>1</v>
      </c>
      <c r="AO8" s="80">
        <f ca="1">IFERROR(ROUND(INDEX(Main!$C$66:$F$66,AO$2-YEAR(Main!$H$2)+1)*Sales!AO42/1000/30/INDEX(Main!$C$67:$F$67,AO$2-YEAR(Main!$H$2)+1),0),0)</f>
        <v>1</v>
      </c>
      <c r="AP8" s="80">
        <f ca="1">IFERROR(ROUND(INDEX(Main!$C$66:$F$66,AP$2-YEAR(Main!$H$2)+1)*Sales!AP42/1000/30/INDEX(Main!$C$67:$F$67,AP$2-YEAR(Main!$H$2)+1),0),0)</f>
        <v>1</v>
      </c>
      <c r="AQ8" s="80">
        <f ca="1">IFERROR(ROUND(INDEX(Main!$C$66:$F$66,AQ$2-YEAR(Main!$H$2)+1)*Sales!AQ42/1000/30/INDEX(Main!$C$67:$F$67,AQ$2-YEAR(Main!$H$2)+1),0),0)</f>
        <v>2</v>
      </c>
      <c r="AR8" s="80">
        <f ca="1">IFERROR(ROUND(INDEX(Main!$C$66:$F$66,AR$2-YEAR(Main!$H$2)+1)*Sales!AR42/1000/30/INDEX(Main!$C$67:$F$67,AR$2-YEAR(Main!$H$2)+1),0),0)</f>
        <v>2</v>
      </c>
      <c r="AS8" s="80">
        <f ca="1">IFERROR(ROUND(INDEX(Main!$C$66:$F$66,AS$2-YEAR(Main!$H$2)+1)*Sales!AS42/1000/30/INDEX(Main!$C$67:$F$67,AS$2-YEAR(Main!$H$2)+1),0),0)</f>
        <v>2</v>
      </c>
      <c r="AT8" s="80">
        <f ca="1">IFERROR(ROUND(INDEX(Main!$C$66:$F$66,AT$2-YEAR(Main!$H$2)+1)*Sales!AT42/1000/30/INDEX(Main!$C$67:$F$67,AT$2-YEAR(Main!$H$2)+1),0),0)</f>
        <v>3</v>
      </c>
      <c r="AU8" s="80">
        <f ca="1">IFERROR(ROUND(INDEX(Main!$C$66:$F$66,AU$2-YEAR(Main!$H$2)+1)*Sales!AU42/1000/30/INDEX(Main!$C$67:$F$67,AU$2-YEAR(Main!$H$2)+1),0),0)</f>
        <v>3</v>
      </c>
      <c r="AV8" s="80">
        <f ca="1">IFERROR(ROUND(INDEX(Main!$C$66:$F$66,AV$2-YEAR(Main!$H$2)+1)*Sales!AV42/1000/30/INDEX(Main!$C$67:$F$67,AV$2-YEAR(Main!$H$2)+1),0),0)</f>
        <v>3</v>
      </c>
      <c r="AW8" s="80">
        <f ca="1">IFERROR(ROUND(INDEX(Main!$C$66:$F$66,AW$2-YEAR(Main!$H$2)+1)*Sales!AW42/1000/30/INDEX(Main!$C$67:$F$67,AW$2-YEAR(Main!$H$2)+1),0),0)</f>
        <v>3</v>
      </c>
      <c r="AX8" s="80">
        <f ca="1">IFERROR(ROUND(INDEX(Main!$C$66:$F$66,AX$2-YEAR(Main!$H$2)+1)*Sales!AX42/1000/30/INDEX(Main!$C$67:$F$67,AX$2-YEAR(Main!$H$2)+1),0),0)</f>
        <v>3</v>
      </c>
      <c r="AY8" s="80">
        <f ca="1">IFERROR(ROUND(INDEX(Main!$C$66:$F$66,AY$2-YEAR(Main!$H$2)+1)*Sales!AY42/1000/30/INDEX(Main!$C$67:$F$67,AY$2-YEAR(Main!$H$2)+1),0),0)</f>
        <v>4</v>
      </c>
      <c r="AZ8" s="80">
        <f ca="1">IFERROR(ROUND(INDEX(Main!$C$66:$F$66,AZ$2-YEAR(Main!$H$2)+1)*Sales!AZ42/1000/30/INDEX(Main!$C$67:$F$67,AZ$2-YEAR(Main!$H$2)+1),0),0)</f>
        <v>4</v>
      </c>
      <c r="BA8" s="80">
        <f ca="1">IFERROR(ROUND(INDEX(Main!$C$66:$F$66,BA$2-YEAR(Main!$H$2)+1)*Sales!BA42/1000/30/INDEX(Main!$C$67:$F$67,BA$2-YEAR(Main!$H$2)+1),0),0)</f>
        <v>4</v>
      </c>
      <c r="BB8" s="80">
        <f ca="1">IFERROR(ROUND(INDEX(Main!$C$66:$F$66,BB$2-YEAR(Main!$H$2)+1)*Sales!BB42/1000/30/INDEX(Main!$C$67:$F$67,BB$2-YEAR(Main!$H$2)+1),0),0)</f>
        <v>4</v>
      </c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x14ac:dyDescent="0.15">
      <c r="A9" s="95" t="s">
        <v>86</v>
      </c>
      <c r="C9" s="82">
        <f t="shared" si="3"/>
        <v>1</v>
      </c>
      <c r="D9" s="77">
        <f t="shared" si="3"/>
        <v>1</v>
      </c>
      <c r="E9" s="77">
        <f t="shared" si="3"/>
        <v>2</v>
      </c>
      <c r="F9" s="77">
        <f t="shared" si="3"/>
        <v>2</v>
      </c>
      <c r="G9" s="14">
        <f>VLOOKUP(G$2,Main!$B$59:$F$62,ROUNDUP(MONTH(G$3)/3,0)+1,0)</f>
        <v>0</v>
      </c>
      <c r="H9" s="14">
        <f>VLOOKUP(H$2,Main!$B$59:$F$62,ROUNDUP(MONTH(H$3)/3,0)+1,0)</f>
        <v>0</v>
      </c>
      <c r="I9" s="14">
        <f>VLOOKUP(I$2,Main!$B$59:$F$62,ROUNDUP(MONTH(I$3)/3,0)+1,0)</f>
        <v>0</v>
      </c>
      <c r="J9" s="14">
        <f>VLOOKUP(J$2,Main!$B$59:$F$62,ROUNDUP(MONTH(J$3)/3,0)+1,0)</f>
        <v>0</v>
      </c>
      <c r="K9" s="14">
        <f>VLOOKUP(K$2,Main!$B$59:$F$62,ROUNDUP(MONTH(K$3)/3,0)+1,0)</f>
        <v>0</v>
      </c>
      <c r="L9" s="14">
        <f>VLOOKUP(L$2,Main!$B$59:$F$62,ROUNDUP(MONTH(L$3)/3,0)+1,0)</f>
        <v>0</v>
      </c>
      <c r="M9" s="14">
        <f>VLOOKUP(M$2,Main!$B$59:$F$62,ROUNDUP(MONTH(M$3)/3,0)+1,0)</f>
        <v>1</v>
      </c>
      <c r="N9" s="14">
        <f>VLOOKUP(N$2,Main!$B$59:$F$62,ROUNDUP(MONTH(N$3)/3,0)+1,0)</f>
        <v>1</v>
      </c>
      <c r="O9" s="14">
        <f>VLOOKUP(O$2,Main!$B$59:$F$62,ROUNDUP(MONTH(O$3)/3,0)+1,0)</f>
        <v>1</v>
      </c>
      <c r="P9" s="14">
        <f>VLOOKUP(P$2,Main!$B$59:$F$62,ROUNDUP(MONTH(P$3)/3,0)+1,0)</f>
        <v>1</v>
      </c>
      <c r="Q9" s="14">
        <f>VLOOKUP(Q$2,Main!$B$59:$F$62,ROUNDUP(MONTH(Q$3)/3,0)+1,0)</f>
        <v>1</v>
      </c>
      <c r="R9" s="14">
        <f>VLOOKUP(R$2,Main!$B$59:$F$62,ROUNDUP(MONTH(R$3)/3,0)+1,0)</f>
        <v>1</v>
      </c>
      <c r="S9" s="14">
        <f>VLOOKUP(S$2,Main!$B$59:$F$62,ROUNDUP(MONTH(S$3)/3,0)+1,0)</f>
        <v>1</v>
      </c>
      <c r="T9" s="14">
        <f>VLOOKUP(T$2,Main!$B$59:$F$62,ROUNDUP(MONTH(T$3)/3,0)+1,0)</f>
        <v>1</v>
      </c>
      <c r="U9" s="14">
        <f>VLOOKUP(U$2,Main!$B$59:$F$62,ROUNDUP(MONTH(U$3)/3,0)+1,0)</f>
        <v>1</v>
      </c>
      <c r="V9" s="14">
        <f>VLOOKUP(V$2,Main!$B$59:$F$62,ROUNDUP(MONTH(V$3)/3,0)+1,0)</f>
        <v>1</v>
      </c>
      <c r="W9" s="14">
        <f>VLOOKUP(W$2,Main!$B$59:$F$62,ROUNDUP(MONTH(W$3)/3,0)+1,0)</f>
        <v>1</v>
      </c>
      <c r="X9" s="14">
        <f>VLOOKUP(X$2,Main!$B$59:$F$62,ROUNDUP(MONTH(X$3)/3,0)+1,0)</f>
        <v>1</v>
      </c>
      <c r="Y9" s="14">
        <f>VLOOKUP(Y$2,Main!$B$59:$F$62,ROUNDUP(MONTH(Y$3)/3,0)+1,0)</f>
        <v>1</v>
      </c>
      <c r="Z9" s="14">
        <f>VLOOKUP(Z$2,Main!$B$59:$F$62,ROUNDUP(MONTH(Z$3)/3,0)+1,0)</f>
        <v>1</v>
      </c>
      <c r="AA9" s="14">
        <f>VLOOKUP(AA$2,Main!$B$59:$F$62,ROUNDUP(MONTH(AA$3)/3,0)+1,0)</f>
        <v>1</v>
      </c>
      <c r="AB9" s="14">
        <f>VLOOKUP(AB$2,Main!$B$59:$F$62,ROUNDUP(MONTH(AB$3)/3,0)+1,0)</f>
        <v>1</v>
      </c>
      <c r="AC9" s="14">
        <f>VLOOKUP(AC$2,Main!$B$59:$F$62,ROUNDUP(MONTH(AC$3)/3,0)+1,0)</f>
        <v>1</v>
      </c>
      <c r="AD9" s="14">
        <f>VLOOKUP(AD$2,Main!$B$59:$F$62,ROUNDUP(MONTH(AD$3)/3,0)+1,0)</f>
        <v>1</v>
      </c>
      <c r="AE9" s="14">
        <f>VLOOKUP(AE$2,Main!$B$59:$F$62,ROUNDUP(MONTH(AE$3)/3,0)+1,0)</f>
        <v>2</v>
      </c>
      <c r="AF9" s="14">
        <f>VLOOKUP(AF$2,Main!$B$59:$F$62,ROUNDUP(MONTH(AF$3)/3,0)+1,0)</f>
        <v>2</v>
      </c>
      <c r="AG9" s="14">
        <f>VLOOKUP(AG$2,Main!$B$59:$F$62,ROUNDUP(MONTH(AG$3)/3,0)+1,0)</f>
        <v>2</v>
      </c>
      <c r="AH9" s="14">
        <f>VLOOKUP(AH$2,Main!$B$59:$F$62,ROUNDUP(MONTH(AH$3)/3,0)+1,0)</f>
        <v>2</v>
      </c>
      <c r="AI9" s="14">
        <f>VLOOKUP(AI$2,Main!$B$59:$F$62,ROUNDUP(MONTH(AI$3)/3,0)+1,0)</f>
        <v>2</v>
      </c>
      <c r="AJ9" s="14">
        <f>VLOOKUP(AJ$2,Main!$B$59:$F$62,ROUNDUP(MONTH(AJ$3)/3,0)+1,0)</f>
        <v>2</v>
      </c>
      <c r="AK9" s="14">
        <f>VLOOKUP(AK$2,Main!$B$59:$F$62,ROUNDUP(MONTH(AK$3)/3,0)+1,0)</f>
        <v>2</v>
      </c>
      <c r="AL9" s="14">
        <f>VLOOKUP(AL$2,Main!$B$59:$F$62,ROUNDUP(MONTH(AL$3)/3,0)+1,0)</f>
        <v>2</v>
      </c>
      <c r="AM9" s="14">
        <f>VLOOKUP(AM$2,Main!$B$59:$F$62,ROUNDUP(MONTH(AM$3)/3,0)+1,0)</f>
        <v>2</v>
      </c>
      <c r="AN9" s="14">
        <f>VLOOKUP(AN$2,Main!$B$59:$F$62,ROUNDUP(MONTH(AN$3)/3,0)+1,0)</f>
        <v>2</v>
      </c>
      <c r="AO9" s="14">
        <f>VLOOKUP(AO$2,Main!$B$59:$F$62,ROUNDUP(MONTH(AO$3)/3,0)+1,0)</f>
        <v>2</v>
      </c>
      <c r="AP9" s="14">
        <f>VLOOKUP(AP$2,Main!$B$59:$F$62,ROUNDUP(MONTH(AP$3)/3,0)+1,0)</f>
        <v>2</v>
      </c>
      <c r="AQ9" s="14">
        <f>VLOOKUP(AQ$2,Main!$B$59:$F$62,ROUNDUP(MONTH(AQ$3)/3,0)+1,0)</f>
        <v>2</v>
      </c>
      <c r="AR9" s="14">
        <f>VLOOKUP(AR$2,Main!$B$59:$F$62,ROUNDUP(MONTH(AR$3)/3,0)+1,0)</f>
        <v>2</v>
      </c>
      <c r="AS9" s="14">
        <f>VLOOKUP(AS$2,Main!$B$59:$F$62,ROUNDUP(MONTH(AS$3)/3,0)+1,0)</f>
        <v>2</v>
      </c>
      <c r="AT9" s="14">
        <f>VLOOKUP(AT$2,Main!$B$59:$F$62,ROUNDUP(MONTH(AT$3)/3,0)+1,0)</f>
        <v>2</v>
      </c>
      <c r="AU9" s="14">
        <f>VLOOKUP(AU$2,Main!$B$59:$F$62,ROUNDUP(MONTH(AU$3)/3,0)+1,0)</f>
        <v>2</v>
      </c>
      <c r="AV9" s="14">
        <f>VLOOKUP(AV$2,Main!$B$59:$F$62,ROUNDUP(MONTH(AV$3)/3,0)+1,0)</f>
        <v>2</v>
      </c>
      <c r="AW9" s="14">
        <f>VLOOKUP(AW$2,Main!$B$59:$F$62,ROUNDUP(MONTH(AW$3)/3,0)+1,0)</f>
        <v>2</v>
      </c>
      <c r="AX9" s="14">
        <f>VLOOKUP(AX$2,Main!$B$59:$F$62,ROUNDUP(MONTH(AX$3)/3,0)+1,0)</f>
        <v>2</v>
      </c>
      <c r="AY9" s="14">
        <f>VLOOKUP(AY$2,Main!$B$59:$F$62,ROUNDUP(MONTH(AY$3)/3,0)+1,0)</f>
        <v>2</v>
      </c>
      <c r="AZ9" s="14">
        <f>VLOOKUP(AZ$2,Main!$B$59:$F$62,ROUNDUP(MONTH(AZ$3)/3,0)+1,0)</f>
        <v>2</v>
      </c>
      <c r="BA9" s="14">
        <f>VLOOKUP(BA$2,Main!$B$59:$F$62,ROUNDUP(MONTH(BA$3)/3,0)+1,0)</f>
        <v>2</v>
      </c>
      <c r="BB9" s="14">
        <f>VLOOKUP(BB$2,Main!$B$59:$F$62,ROUNDUP(MONTH(BB$3)/3,0)+1,0)</f>
        <v>2</v>
      </c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15">
      <c r="A10" s="95" t="s">
        <v>85</v>
      </c>
      <c r="C10" s="82">
        <f t="shared" si="3"/>
        <v>1</v>
      </c>
      <c r="D10" s="77">
        <f t="shared" si="3"/>
        <v>8</v>
      </c>
      <c r="E10" s="77">
        <f t="shared" si="3"/>
        <v>14</v>
      </c>
      <c r="F10" s="77">
        <f t="shared" si="3"/>
        <v>14</v>
      </c>
      <c r="G10" s="80">
        <f>COUNTIFS('Corp Employees'!$F:$F,"&lt;="&amp;'Staff Expense'!G$3,'Corp Employees'!$G:$G,"&gt;"&amp;'Staff Expense'!G$3)</f>
        <v>1</v>
      </c>
      <c r="H10" s="80">
        <f>COUNTIFS('Corp Employees'!$F:$F,"&lt;="&amp;'Staff Expense'!H$3,'Corp Employees'!$G:$G,"&gt;"&amp;'Staff Expense'!H$3)</f>
        <v>1</v>
      </c>
      <c r="I10" s="80">
        <f>COUNTIFS('Corp Employees'!$F:$F,"&lt;="&amp;'Staff Expense'!I$3,'Corp Employees'!$G:$G,"&gt;"&amp;'Staff Expense'!I$3)</f>
        <v>1</v>
      </c>
      <c r="J10" s="80">
        <f>COUNTIFS('Corp Employees'!$F:$F,"&lt;="&amp;'Staff Expense'!J$3,'Corp Employees'!$G:$G,"&gt;"&amp;'Staff Expense'!J$3)</f>
        <v>1</v>
      </c>
      <c r="K10" s="80">
        <f>COUNTIFS('Corp Employees'!$F:$F,"&lt;="&amp;'Staff Expense'!K$3,'Corp Employees'!$G:$G,"&gt;"&amp;'Staff Expense'!K$3)</f>
        <v>1</v>
      </c>
      <c r="L10" s="77">
        <f>COUNTIFS('Corp Employees'!$F:$F,"&lt;="&amp;'Staff Expense'!L$3,'Corp Employees'!$G:$G,"&gt;"&amp;'Staff Expense'!L$3)</f>
        <v>1</v>
      </c>
      <c r="M10" s="77">
        <f>COUNTIFS('Corp Employees'!$F:$F,"&lt;="&amp;'Staff Expense'!M$3,'Corp Employees'!$G:$G,"&gt;"&amp;'Staff Expense'!M$3)</f>
        <v>1</v>
      </c>
      <c r="N10" s="77">
        <f>COUNTIFS('Corp Employees'!$F:$F,"&lt;="&amp;'Staff Expense'!N$3,'Corp Employees'!$G:$G,"&gt;"&amp;'Staff Expense'!N$3)</f>
        <v>1</v>
      </c>
      <c r="O10" s="77">
        <f>COUNTIFS('Corp Employees'!$F:$F,"&lt;="&amp;'Staff Expense'!O$3,'Corp Employees'!$G:$G,"&gt;"&amp;'Staff Expense'!O$3)</f>
        <v>1</v>
      </c>
      <c r="P10" s="77">
        <f>COUNTIFS('Corp Employees'!$F:$F,"&lt;="&amp;'Staff Expense'!P$3,'Corp Employees'!$G:$G,"&gt;"&amp;'Staff Expense'!P$3)</f>
        <v>1</v>
      </c>
      <c r="Q10" s="77">
        <f>COUNTIFS('Corp Employees'!$F:$F,"&lt;="&amp;'Staff Expense'!Q$3,'Corp Employees'!$G:$G,"&gt;"&amp;'Staff Expense'!Q$3)</f>
        <v>1</v>
      </c>
      <c r="R10" s="77">
        <f>COUNTIFS('Corp Employees'!$F:$F,"&lt;="&amp;'Staff Expense'!R$3,'Corp Employees'!$G:$G,"&gt;"&amp;'Staff Expense'!R$3)</f>
        <v>1</v>
      </c>
      <c r="S10" s="77">
        <f>COUNTIFS('Corp Employees'!$F:$F,"&lt;="&amp;'Staff Expense'!S$3,'Corp Employees'!$G:$G,"&gt;"&amp;'Staff Expense'!S$3)</f>
        <v>8</v>
      </c>
      <c r="T10" s="77">
        <f>COUNTIFS('Corp Employees'!$F:$F,"&lt;="&amp;'Staff Expense'!T$3,'Corp Employees'!$G:$G,"&gt;"&amp;'Staff Expense'!T$3)</f>
        <v>8</v>
      </c>
      <c r="U10" s="77">
        <f>COUNTIFS('Corp Employees'!$F:$F,"&lt;="&amp;'Staff Expense'!U$3,'Corp Employees'!$G:$G,"&gt;"&amp;'Staff Expense'!U$3)</f>
        <v>8</v>
      </c>
      <c r="V10" s="77">
        <f>COUNTIFS('Corp Employees'!$F:$F,"&lt;="&amp;'Staff Expense'!V$3,'Corp Employees'!$G:$G,"&gt;"&amp;'Staff Expense'!V$3)</f>
        <v>8</v>
      </c>
      <c r="W10" s="77">
        <f>COUNTIFS('Corp Employees'!$F:$F,"&lt;="&amp;'Staff Expense'!W$3,'Corp Employees'!$G:$G,"&gt;"&amp;'Staff Expense'!W$3)</f>
        <v>8</v>
      </c>
      <c r="X10" s="77">
        <f>COUNTIFS('Corp Employees'!$F:$F,"&lt;="&amp;'Staff Expense'!X$3,'Corp Employees'!$G:$G,"&gt;"&amp;'Staff Expense'!X$3)</f>
        <v>8</v>
      </c>
      <c r="Y10" s="77">
        <f>COUNTIFS('Corp Employees'!$F:$F,"&lt;="&amp;'Staff Expense'!Y$3,'Corp Employees'!$G:$G,"&gt;"&amp;'Staff Expense'!Y$3)</f>
        <v>8</v>
      </c>
      <c r="Z10" s="77">
        <f>COUNTIFS('Corp Employees'!$F:$F,"&lt;="&amp;'Staff Expense'!Z$3,'Corp Employees'!$G:$G,"&gt;"&amp;'Staff Expense'!Z$3)</f>
        <v>8</v>
      </c>
      <c r="AA10" s="77">
        <f>COUNTIFS('Corp Employees'!$F:$F,"&lt;="&amp;'Staff Expense'!AA$3,'Corp Employees'!$G:$G,"&gt;"&amp;'Staff Expense'!AA$3)</f>
        <v>8</v>
      </c>
      <c r="AB10" s="77">
        <f>COUNTIFS('Corp Employees'!$F:$F,"&lt;="&amp;'Staff Expense'!AB$3,'Corp Employees'!$G:$G,"&gt;"&amp;'Staff Expense'!AB$3)</f>
        <v>8</v>
      </c>
      <c r="AC10" s="77">
        <f>COUNTIFS('Corp Employees'!$F:$F,"&lt;="&amp;'Staff Expense'!AC$3,'Corp Employees'!$G:$G,"&gt;"&amp;'Staff Expense'!AC$3)</f>
        <v>8</v>
      </c>
      <c r="AD10" s="77">
        <f>COUNTIFS('Corp Employees'!$F:$F,"&lt;="&amp;'Staff Expense'!AD$3,'Corp Employees'!$G:$G,"&gt;"&amp;'Staff Expense'!AD$3)</f>
        <v>8</v>
      </c>
      <c r="AE10" s="77">
        <f>COUNTIFS('Corp Employees'!$F:$F,"&lt;="&amp;'Staff Expense'!AE$3,'Corp Employees'!$G:$G,"&gt;"&amp;'Staff Expense'!AE$3)</f>
        <v>14</v>
      </c>
      <c r="AF10" s="77">
        <f>COUNTIFS('Corp Employees'!$F:$F,"&lt;="&amp;'Staff Expense'!AF$3,'Corp Employees'!$G:$G,"&gt;"&amp;'Staff Expense'!AF$3)</f>
        <v>14</v>
      </c>
      <c r="AG10" s="77">
        <f>COUNTIFS('Corp Employees'!$F:$F,"&lt;="&amp;'Staff Expense'!AG$3,'Corp Employees'!$G:$G,"&gt;"&amp;'Staff Expense'!AG$3)</f>
        <v>14</v>
      </c>
      <c r="AH10" s="77">
        <f>COUNTIFS('Corp Employees'!$F:$F,"&lt;="&amp;'Staff Expense'!AH$3,'Corp Employees'!$G:$G,"&gt;"&amp;'Staff Expense'!AH$3)</f>
        <v>14</v>
      </c>
      <c r="AI10" s="77">
        <f>COUNTIFS('Corp Employees'!$F:$F,"&lt;="&amp;'Staff Expense'!AI$3,'Corp Employees'!$G:$G,"&gt;"&amp;'Staff Expense'!AI$3)</f>
        <v>14</v>
      </c>
      <c r="AJ10" s="77">
        <f>COUNTIFS('Corp Employees'!$F:$F,"&lt;="&amp;'Staff Expense'!AJ$3,'Corp Employees'!$G:$G,"&gt;"&amp;'Staff Expense'!AJ$3)</f>
        <v>14</v>
      </c>
      <c r="AK10" s="77">
        <f>COUNTIFS('Corp Employees'!$F:$F,"&lt;="&amp;'Staff Expense'!AK$3,'Corp Employees'!$G:$G,"&gt;"&amp;'Staff Expense'!AK$3)</f>
        <v>14</v>
      </c>
      <c r="AL10" s="77">
        <f>COUNTIFS('Corp Employees'!$F:$F,"&lt;="&amp;'Staff Expense'!AL$3,'Corp Employees'!$G:$G,"&gt;"&amp;'Staff Expense'!AL$3)</f>
        <v>14</v>
      </c>
      <c r="AM10" s="77">
        <f>COUNTIFS('Corp Employees'!$F:$F,"&lt;="&amp;'Staff Expense'!AM$3,'Corp Employees'!$G:$G,"&gt;"&amp;'Staff Expense'!AM$3)</f>
        <v>14</v>
      </c>
      <c r="AN10" s="77">
        <f>COUNTIFS('Corp Employees'!$F:$F,"&lt;="&amp;'Staff Expense'!AN$3,'Corp Employees'!$G:$G,"&gt;"&amp;'Staff Expense'!AN$3)</f>
        <v>14</v>
      </c>
      <c r="AO10" s="77">
        <f>COUNTIFS('Corp Employees'!$F:$F,"&lt;="&amp;'Staff Expense'!AO$3,'Corp Employees'!$G:$G,"&gt;"&amp;'Staff Expense'!AO$3)</f>
        <v>14</v>
      </c>
      <c r="AP10" s="77">
        <f>COUNTIFS('Corp Employees'!$F:$F,"&lt;="&amp;'Staff Expense'!AP$3,'Corp Employees'!$G:$G,"&gt;"&amp;'Staff Expense'!AP$3)</f>
        <v>14</v>
      </c>
      <c r="AQ10" s="77">
        <f>COUNTIFS('Corp Employees'!$F:$F,"&lt;="&amp;'Staff Expense'!AQ$3,'Corp Employees'!$G:$G,"&gt;"&amp;'Staff Expense'!AQ$3)</f>
        <v>14</v>
      </c>
      <c r="AR10" s="77">
        <f>COUNTIFS('Corp Employees'!$F:$F,"&lt;="&amp;'Staff Expense'!AR$3,'Corp Employees'!$G:$G,"&gt;"&amp;'Staff Expense'!AR$3)</f>
        <v>14</v>
      </c>
      <c r="AS10" s="77">
        <f>COUNTIFS('Corp Employees'!$F:$F,"&lt;="&amp;'Staff Expense'!AS$3,'Corp Employees'!$G:$G,"&gt;"&amp;'Staff Expense'!AS$3)</f>
        <v>14</v>
      </c>
      <c r="AT10" s="77">
        <f>COUNTIFS('Corp Employees'!$F:$F,"&lt;="&amp;'Staff Expense'!AT$3,'Corp Employees'!$G:$G,"&gt;"&amp;'Staff Expense'!AT$3)</f>
        <v>14</v>
      </c>
      <c r="AU10" s="77">
        <f>COUNTIFS('Corp Employees'!$F:$F,"&lt;="&amp;'Staff Expense'!AU$3,'Corp Employees'!$G:$G,"&gt;"&amp;'Staff Expense'!AU$3)</f>
        <v>14</v>
      </c>
      <c r="AV10" s="77">
        <f>COUNTIFS('Corp Employees'!$F:$F,"&lt;="&amp;'Staff Expense'!AV$3,'Corp Employees'!$G:$G,"&gt;"&amp;'Staff Expense'!AV$3)</f>
        <v>14</v>
      </c>
      <c r="AW10" s="77">
        <f>COUNTIFS('Corp Employees'!$F:$F,"&lt;="&amp;'Staff Expense'!AW$3,'Corp Employees'!$G:$G,"&gt;"&amp;'Staff Expense'!AW$3)</f>
        <v>14</v>
      </c>
      <c r="AX10" s="77">
        <f>COUNTIFS('Corp Employees'!$F:$F,"&lt;="&amp;'Staff Expense'!AX$3,'Corp Employees'!$G:$G,"&gt;"&amp;'Staff Expense'!AX$3)</f>
        <v>14</v>
      </c>
      <c r="AY10" s="77">
        <f>COUNTIFS('Corp Employees'!$F:$F,"&lt;="&amp;'Staff Expense'!AY$3,'Corp Employees'!$G:$G,"&gt;"&amp;'Staff Expense'!AY$3)</f>
        <v>14</v>
      </c>
      <c r="AZ10" s="77">
        <f>COUNTIFS('Corp Employees'!$F:$F,"&lt;="&amp;'Staff Expense'!AZ$3,'Corp Employees'!$G:$G,"&gt;"&amp;'Staff Expense'!AZ$3)</f>
        <v>14</v>
      </c>
      <c r="BA10" s="77">
        <f>COUNTIFS('Corp Employees'!$F:$F,"&lt;="&amp;'Staff Expense'!BA$3,'Corp Employees'!$G:$G,"&gt;"&amp;'Staff Expense'!BA$3)</f>
        <v>14</v>
      </c>
      <c r="BB10" s="77">
        <f>COUNTIFS('Corp Employees'!$F:$F,"&lt;="&amp;'Staff Expense'!BB$3,'Corp Employees'!$G:$G,"&gt;"&amp;'Staff Expense'!BB$3)</f>
        <v>14</v>
      </c>
      <c r="BC10" s="3"/>
      <c r="BD10" s="3"/>
      <c r="BE10" s="3"/>
      <c r="BF10" s="3"/>
      <c r="BG10" s="3"/>
      <c r="BH10" s="3"/>
    </row>
    <row r="11" spans="1:71" s="67" customFormat="1" x14ac:dyDescent="0.15">
      <c r="A11" s="255" t="s">
        <v>102</v>
      </c>
      <c r="B11" s="59"/>
      <c r="C11" s="276">
        <f t="shared" ca="1" si="3"/>
        <v>5</v>
      </c>
      <c r="D11" s="277">
        <f t="shared" ca="1" si="3"/>
        <v>20</v>
      </c>
      <c r="E11" s="277">
        <f t="shared" ca="1" si="3"/>
        <v>33</v>
      </c>
      <c r="F11" s="277">
        <f t="shared" ca="1" si="3"/>
        <v>39</v>
      </c>
      <c r="G11" s="278">
        <f t="shared" ref="G11:K11" si="4">SUM(G6:G10)</f>
        <v>3</v>
      </c>
      <c r="H11" s="278">
        <f t="shared" ca="1" si="4"/>
        <v>3</v>
      </c>
      <c r="I11" s="278">
        <f t="shared" ca="1" si="4"/>
        <v>3</v>
      </c>
      <c r="J11" s="278">
        <f t="shared" ca="1" si="4"/>
        <v>3</v>
      </c>
      <c r="K11" s="278">
        <f t="shared" ca="1" si="4"/>
        <v>3</v>
      </c>
      <c r="L11" s="278">
        <f t="shared" ref="L11:BB11" ca="1" si="5">SUM(L6:L10)</f>
        <v>3</v>
      </c>
      <c r="M11" s="278">
        <f t="shared" ca="1" si="5"/>
        <v>5</v>
      </c>
      <c r="N11" s="278">
        <f t="shared" ca="1" si="5"/>
        <v>5</v>
      </c>
      <c r="O11" s="278">
        <f t="shared" ca="1" si="5"/>
        <v>5</v>
      </c>
      <c r="P11" s="278">
        <f t="shared" ca="1" si="5"/>
        <v>5</v>
      </c>
      <c r="Q11" s="278">
        <f t="shared" ca="1" si="5"/>
        <v>5</v>
      </c>
      <c r="R11" s="278">
        <f t="shared" ca="1" si="5"/>
        <v>5</v>
      </c>
      <c r="S11" s="278">
        <f t="shared" ca="1" si="5"/>
        <v>15</v>
      </c>
      <c r="T11" s="278">
        <f t="shared" ca="1" si="5"/>
        <v>15</v>
      </c>
      <c r="U11" s="278">
        <f t="shared" ca="1" si="5"/>
        <v>15</v>
      </c>
      <c r="V11" s="278">
        <f t="shared" ca="1" si="5"/>
        <v>16</v>
      </c>
      <c r="W11" s="278">
        <f t="shared" ca="1" si="5"/>
        <v>16</v>
      </c>
      <c r="X11" s="278">
        <f t="shared" ca="1" si="5"/>
        <v>16</v>
      </c>
      <c r="Y11" s="278">
        <f t="shared" ca="1" si="5"/>
        <v>18</v>
      </c>
      <c r="Z11" s="278">
        <f t="shared" ca="1" si="5"/>
        <v>18</v>
      </c>
      <c r="AA11" s="278">
        <f t="shared" ca="1" si="5"/>
        <v>18</v>
      </c>
      <c r="AB11" s="278">
        <f t="shared" ca="1" si="5"/>
        <v>20</v>
      </c>
      <c r="AC11" s="278">
        <f t="shared" ca="1" si="5"/>
        <v>20</v>
      </c>
      <c r="AD11" s="278">
        <f t="shared" ca="1" si="5"/>
        <v>20</v>
      </c>
      <c r="AE11" s="278">
        <f t="shared" ca="1" si="5"/>
        <v>28</v>
      </c>
      <c r="AF11" s="278">
        <f t="shared" ca="1" si="5"/>
        <v>28</v>
      </c>
      <c r="AG11" s="278">
        <f t="shared" ca="1" si="5"/>
        <v>28</v>
      </c>
      <c r="AH11" s="278">
        <f t="shared" ca="1" si="5"/>
        <v>30</v>
      </c>
      <c r="AI11" s="278">
        <f t="shared" ca="1" si="5"/>
        <v>30</v>
      </c>
      <c r="AJ11" s="278">
        <f t="shared" ca="1" si="5"/>
        <v>30</v>
      </c>
      <c r="AK11" s="278">
        <f t="shared" ca="1" si="5"/>
        <v>31</v>
      </c>
      <c r="AL11" s="278">
        <f t="shared" ca="1" si="5"/>
        <v>31</v>
      </c>
      <c r="AM11" s="278">
        <f t="shared" ca="1" si="5"/>
        <v>31</v>
      </c>
      <c r="AN11" s="278">
        <f t="shared" ca="1" si="5"/>
        <v>33</v>
      </c>
      <c r="AO11" s="278">
        <f t="shared" ca="1" si="5"/>
        <v>33</v>
      </c>
      <c r="AP11" s="278">
        <f t="shared" ca="1" si="5"/>
        <v>33</v>
      </c>
      <c r="AQ11" s="278">
        <f t="shared" ca="1" si="5"/>
        <v>34</v>
      </c>
      <c r="AR11" s="278">
        <f t="shared" ca="1" si="5"/>
        <v>34</v>
      </c>
      <c r="AS11" s="278">
        <f t="shared" ca="1" si="5"/>
        <v>35</v>
      </c>
      <c r="AT11" s="278">
        <f t="shared" ca="1" si="5"/>
        <v>36</v>
      </c>
      <c r="AU11" s="278">
        <f t="shared" ca="1" si="5"/>
        <v>36</v>
      </c>
      <c r="AV11" s="278">
        <f t="shared" ca="1" si="5"/>
        <v>37</v>
      </c>
      <c r="AW11" s="278">
        <f t="shared" ca="1" si="5"/>
        <v>37</v>
      </c>
      <c r="AX11" s="278">
        <f t="shared" ca="1" si="5"/>
        <v>37</v>
      </c>
      <c r="AY11" s="278">
        <f t="shared" ca="1" si="5"/>
        <v>38</v>
      </c>
      <c r="AZ11" s="278">
        <f t="shared" ca="1" si="5"/>
        <v>39</v>
      </c>
      <c r="BA11" s="278">
        <f t="shared" ca="1" si="5"/>
        <v>39</v>
      </c>
      <c r="BB11" s="278">
        <f t="shared" ca="1" si="5"/>
        <v>39</v>
      </c>
      <c r="BC11" s="278"/>
      <c r="BD11" s="278"/>
      <c r="BE11" s="278"/>
      <c r="BF11" s="278"/>
      <c r="BG11" s="278"/>
      <c r="BH11" s="278"/>
    </row>
    <row r="12" spans="1:71" x14ac:dyDescent="0.15">
      <c r="C12" s="82"/>
      <c r="D12" s="77"/>
      <c r="E12" s="77"/>
      <c r="F12" s="77"/>
      <c r="G12" s="7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71" x14ac:dyDescent="0.15">
      <c r="A13" s="86" t="s">
        <v>101</v>
      </c>
      <c r="C13" s="82"/>
      <c r="D13" s="77"/>
      <c r="E13" s="77"/>
      <c r="F13" s="77"/>
      <c r="G13" s="7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71" s="54" customFormat="1" x14ac:dyDescent="0.15">
      <c r="A14" s="95" t="s">
        <v>74</v>
      </c>
      <c r="C14" s="82">
        <f t="shared" ref="C14:C19" ca="1" si="6">SUMIFS($G14:$BB14,$G$2:$BB$2,C$3)</f>
        <v>0</v>
      </c>
      <c r="D14" s="77">
        <f t="shared" ref="D14:F19" ca="1" si="7">SUMIFS($G14:$BB14,$G$2:$BB$2,D$3)</f>
        <v>265899.375</v>
      </c>
      <c r="E14" s="77">
        <f t="shared" ca="1" si="7"/>
        <v>558388.6875</v>
      </c>
      <c r="F14" s="77">
        <f t="shared" ca="1" si="7"/>
        <v>912034.85624999995</v>
      </c>
      <c r="G14" s="80">
        <f>+G6*Main!$D$70/12*(1+Main!$C$75)^('Staff Expense'!G$2-YEAR(Main!$H$2))</f>
        <v>0</v>
      </c>
      <c r="H14" s="80">
        <f ca="1">+H6*Main!$D$70/12*(1+Main!$C$75)^('Staff Expense'!H$2-YEAR(Main!$H$2))</f>
        <v>0</v>
      </c>
      <c r="I14" s="80">
        <f ca="1">+I6*Main!$D$70/12*(1+Main!$C$75)^('Staff Expense'!I$2-YEAR(Main!$H$2))</f>
        <v>0</v>
      </c>
      <c r="J14" s="80">
        <f ca="1">+J6*Main!$D$70/12*(1+Main!$C$75)^('Staff Expense'!J$2-YEAR(Main!$H$2))</f>
        <v>0</v>
      </c>
      <c r="K14" s="80">
        <f ca="1">+K6*Main!$D$70/12*(1+Main!$C$75)^('Staff Expense'!K$2-YEAR(Main!$H$2))</f>
        <v>0</v>
      </c>
      <c r="L14" s="80">
        <f ca="1">+L6*Main!$D$70/12*(1+Main!$C$75)^('Staff Expense'!L$2-YEAR(Main!$H$2))</f>
        <v>0</v>
      </c>
      <c r="M14" s="80">
        <f ca="1">+M6*Main!$D$70/12*(1+Main!$C$75)^('Staff Expense'!M$2-YEAR(Main!$H$2))</f>
        <v>0</v>
      </c>
      <c r="N14" s="80">
        <f ca="1">+N6*Main!$D$70/12*(1+Main!$C$75)^('Staff Expense'!N$2-YEAR(Main!$H$2))</f>
        <v>0</v>
      </c>
      <c r="O14" s="80">
        <f ca="1">+O6*Main!$D$70/12*(1+Main!$C$75)^('Staff Expense'!O$2-YEAR(Main!$H$2))</f>
        <v>0</v>
      </c>
      <c r="P14" s="80">
        <f ca="1">+P6*Main!$D$70/12*(1+Main!$C$75)^('Staff Expense'!P$2-YEAR(Main!$H$2))</f>
        <v>0</v>
      </c>
      <c r="Q14" s="80">
        <f ca="1">+Q6*Main!$D$70/12*(1+Main!$C$75)^('Staff Expense'!Q$2-YEAR(Main!$H$2))</f>
        <v>0</v>
      </c>
      <c r="R14" s="80">
        <f ca="1">+R6*Main!$D$70/12*(1+Main!$C$75)^('Staff Expense'!R$2-YEAR(Main!$H$2))</f>
        <v>0</v>
      </c>
      <c r="S14" s="80">
        <f ca="1">+S6*Main!$D$70/12*(1+Main!$C$75)^('Staff Expense'!S$2-YEAR(Main!$H$2))</f>
        <v>14772.1875</v>
      </c>
      <c r="T14" s="80">
        <f ca="1">+T6*Main!$D$70/12*(1+Main!$C$75)^('Staff Expense'!T$2-YEAR(Main!$H$2))</f>
        <v>14772.1875</v>
      </c>
      <c r="U14" s="80">
        <f ca="1">+U6*Main!$D$70/12*(1+Main!$C$75)^('Staff Expense'!U$2-YEAR(Main!$H$2))</f>
        <v>14772.1875</v>
      </c>
      <c r="V14" s="80">
        <f ca="1">+V6*Main!$D$70/12*(1+Main!$C$75)^('Staff Expense'!V$2-YEAR(Main!$H$2))</f>
        <v>14772.1875</v>
      </c>
      <c r="W14" s="80">
        <f ca="1">+W6*Main!$D$70/12*(1+Main!$C$75)^('Staff Expense'!W$2-YEAR(Main!$H$2))</f>
        <v>14772.1875</v>
      </c>
      <c r="X14" s="80">
        <f ca="1">+X6*Main!$D$70/12*(1+Main!$C$75)^('Staff Expense'!X$2-YEAR(Main!$H$2))</f>
        <v>14772.1875</v>
      </c>
      <c r="Y14" s="80">
        <f ca="1">+Y6*Main!$D$70/12*(1+Main!$C$75)^('Staff Expense'!Y$2-YEAR(Main!$H$2))</f>
        <v>29544.375</v>
      </c>
      <c r="Z14" s="80">
        <f ca="1">+Z6*Main!$D$70/12*(1+Main!$C$75)^('Staff Expense'!Z$2-YEAR(Main!$H$2))</f>
        <v>29544.375</v>
      </c>
      <c r="AA14" s="80">
        <f ca="1">+AA6*Main!$D$70/12*(1+Main!$C$75)^('Staff Expense'!AA$2-YEAR(Main!$H$2))</f>
        <v>29544.375</v>
      </c>
      <c r="AB14" s="80">
        <f ca="1">+AB6*Main!$D$70/12*(1+Main!$C$75)^('Staff Expense'!AB$2-YEAR(Main!$H$2))</f>
        <v>29544.375</v>
      </c>
      <c r="AC14" s="80">
        <f ca="1">+AC6*Main!$D$70/12*(1+Main!$C$75)^('Staff Expense'!AC$2-YEAR(Main!$H$2))</f>
        <v>29544.375</v>
      </c>
      <c r="AD14" s="80">
        <f ca="1">+AD6*Main!$D$70/12*(1+Main!$C$75)^('Staff Expense'!AD$2-YEAR(Main!$H$2))</f>
        <v>29544.375</v>
      </c>
      <c r="AE14" s="80">
        <f ca="1">+AE6*Main!$D$70/12*(1+Main!$C$75)^('Staff Expense'!AE$2-YEAR(Main!$H$2))</f>
        <v>31021.59375</v>
      </c>
      <c r="AF14" s="80">
        <f ca="1">+AF6*Main!$D$70/12*(1+Main!$C$75)^('Staff Expense'!AF$2-YEAR(Main!$H$2))</f>
        <v>31021.59375</v>
      </c>
      <c r="AG14" s="80">
        <f ca="1">+AG6*Main!$D$70/12*(1+Main!$C$75)^('Staff Expense'!AG$2-YEAR(Main!$H$2))</f>
        <v>31021.59375</v>
      </c>
      <c r="AH14" s="80">
        <f ca="1">+AH6*Main!$D$70/12*(1+Main!$C$75)^('Staff Expense'!AH$2-YEAR(Main!$H$2))</f>
        <v>46532.390625</v>
      </c>
      <c r="AI14" s="80">
        <f ca="1">+AI6*Main!$D$70/12*(1+Main!$C$75)^('Staff Expense'!AI$2-YEAR(Main!$H$2))</f>
        <v>46532.390625</v>
      </c>
      <c r="AJ14" s="80">
        <f ca="1">+AJ6*Main!$D$70/12*(1+Main!$C$75)^('Staff Expense'!AJ$2-YEAR(Main!$H$2))</f>
        <v>46532.390625</v>
      </c>
      <c r="AK14" s="80">
        <f ca="1">+AK6*Main!$D$70/12*(1+Main!$C$75)^('Staff Expense'!AK$2-YEAR(Main!$H$2))</f>
        <v>46532.390625</v>
      </c>
      <c r="AL14" s="80">
        <f ca="1">+AL6*Main!$D$70/12*(1+Main!$C$75)^('Staff Expense'!AL$2-YEAR(Main!$H$2))</f>
        <v>46532.390625</v>
      </c>
      <c r="AM14" s="80">
        <f ca="1">+AM6*Main!$D$70/12*(1+Main!$C$75)^('Staff Expense'!AM$2-YEAR(Main!$H$2))</f>
        <v>46532.390625</v>
      </c>
      <c r="AN14" s="80">
        <f ca="1">+AN6*Main!$D$70/12*(1+Main!$C$75)^('Staff Expense'!AN$2-YEAR(Main!$H$2))</f>
        <v>62043.1875</v>
      </c>
      <c r="AO14" s="80">
        <f ca="1">+AO6*Main!$D$70/12*(1+Main!$C$75)^('Staff Expense'!AO$2-YEAR(Main!$H$2))</f>
        <v>62043.1875</v>
      </c>
      <c r="AP14" s="80">
        <f ca="1">+AP6*Main!$D$70/12*(1+Main!$C$75)^('Staff Expense'!AP$2-YEAR(Main!$H$2))</f>
        <v>62043.1875</v>
      </c>
      <c r="AQ14" s="80">
        <f ca="1">+AQ6*Main!$D$70/12*(1+Main!$C$75)^('Staff Expense'!AQ$2-YEAR(Main!$H$2))</f>
        <v>48859.010156250006</v>
      </c>
      <c r="AR14" s="80">
        <f ca="1">+AR6*Main!$D$70/12*(1+Main!$C$75)^('Staff Expense'!AR$2-YEAR(Main!$H$2))</f>
        <v>48859.010156250006</v>
      </c>
      <c r="AS14" s="80">
        <f ca="1">+AS6*Main!$D$70/12*(1+Main!$C$75)^('Staff Expense'!AS$2-YEAR(Main!$H$2))</f>
        <v>65145.34687500001</v>
      </c>
      <c r="AT14" s="80">
        <f ca="1">+AT6*Main!$D$70/12*(1+Main!$C$75)^('Staff Expense'!AT$2-YEAR(Main!$H$2))</f>
        <v>65145.34687500001</v>
      </c>
      <c r="AU14" s="80">
        <f ca="1">+AU6*Main!$D$70/12*(1+Main!$C$75)^('Staff Expense'!AU$2-YEAR(Main!$H$2))</f>
        <v>65145.34687500001</v>
      </c>
      <c r="AV14" s="80">
        <f ca="1">+AV6*Main!$D$70/12*(1+Main!$C$75)^('Staff Expense'!AV$2-YEAR(Main!$H$2))</f>
        <v>81431.683593750015</v>
      </c>
      <c r="AW14" s="80">
        <f ca="1">+AW6*Main!$D$70/12*(1+Main!$C$75)^('Staff Expense'!AW$2-YEAR(Main!$H$2))</f>
        <v>81431.683593750015</v>
      </c>
      <c r="AX14" s="80">
        <f ca="1">+AX6*Main!$D$70/12*(1+Main!$C$75)^('Staff Expense'!AX$2-YEAR(Main!$H$2))</f>
        <v>81431.683593750015</v>
      </c>
      <c r="AY14" s="80">
        <f ca="1">+AY6*Main!$D$70/12*(1+Main!$C$75)^('Staff Expense'!AY$2-YEAR(Main!$H$2))</f>
        <v>81431.683593750015</v>
      </c>
      <c r="AZ14" s="80">
        <f ca="1">+AZ6*Main!$D$70/12*(1+Main!$C$75)^('Staff Expense'!AZ$2-YEAR(Main!$H$2))</f>
        <v>97718.020312500012</v>
      </c>
      <c r="BA14" s="80">
        <f ca="1">+BA6*Main!$D$70/12*(1+Main!$C$75)^('Staff Expense'!BA$2-YEAR(Main!$H$2))</f>
        <v>97718.020312500012</v>
      </c>
      <c r="BB14" s="80">
        <f ca="1">+BB6*Main!$D$70/12*(1+Main!$C$75)^('Staff Expense'!BB$2-YEAR(Main!$H$2))</f>
        <v>97718.020312500012</v>
      </c>
      <c r="BC14" s="3"/>
      <c r="BD14" s="3"/>
      <c r="BE14" s="3"/>
      <c r="BF14" s="3"/>
      <c r="BG14" s="3"/>
      <c r="BH14" s="3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s="54" customFormat="1" x14ac:dyDescent="0.15">
      <c r="A15" s="95" t="s">
        <v>60</v>
      </c>
      <c r="C15" s="82">
        <f t="shared" si="6"/>
        <v>381693.75</v>
      </c>
      <c r="D15" s="77">
        <f t="shared" si="7"/>
        <v>1042023.9375</v>
      </c>
      <c r="E15" s="77">
        <f t="shared" si="7"/>
        <v>1767432.9093750003</v>
      </c>
      <c r="F15" s="77">
        <f t="shared" si="7"/>
        <v>2297662.7821874996</v>
      </c>
      <c r="G15" s="80">
        <f>+G7*(1/(1+Main!$D$50)*Main!$D$72/12+(1-1/(1+Main!$D$50))*Main!$D$71/12)*(1+Main!$C$75)^('Staff Expense'!G$2-YEAR(Main!$H$2))</f>
        <v>25446.25</v>
      </c>
      <c r="H15" s="80">
        <f>+H7*(1/(1+Main!$D$50)*Main!$D$72/12+(1-1/(1+Main!$D$50))*Main!$D$71/12)*(1+Main!$C$75)^('Staff Expense'!H$2-YEAR(Main!$H$2))</f>
        <v>25446.25</v>
      </c>
      <c r="I15" s="80">
        <f>+I7*(1/(1+Main!$D$50)*Main!$D$72/12+(1-1/(1+Main!$D$50))*Main!$D$71/12)*(1+Main!$C$75)^('Staff Expense'!I$2-YEAR(Main!$H$2))</f>
        <v>25446.25</v>
      </c>
      <c r="J15" s="80">
        <f>+J7*(1/(1+Main!$D$50)*Main!$D$72/12+(1-1/(1+Main!$D$50))*Main!$D$71/12)*(1+Main!$C$75)^('Staff Expense'!J$2-YEAR(Main!$H$2))</f>
        <v>25446.25</v>
      </c>
      <c r="K15" s="80">
        <f>+K7*(1/(1+Main!$D$50)*Main!$D$72/12+(1-1/(1+Main!$D$50))*Main!$D$71/12)*(1+Main!$C$75)^('Staff Expense'!K$2-YEAR(Main!$H$2))</f>
        <v>25446.25</v>
      </c>
      <c r="L15" s="80">
        <f>+L7*(1/(1+Main!$D$50)*Main!$D$72/12+(1-1/(1+Main!$D$50))*Main!$D$71/12)*(1+Main!$C$75)^('Staff Expense'!L$2-YEAR(Main!$H$2))</f>
        <v>25446.25</v>
      </c>
      <c r="M15" s="80">
        <f>+M7*(1/(1+Main!$D$50)*Main!$D$72/12+(1-1/(1+Main!$D$50))*Main!$D$71/12)*(1+Main!$C$75)^('Staff Expense'!M$2-YEAR(Main!$H$2))</f>
        <v>38169.375</v>
      </c>
      <c r="N15" s="80">
        <f>+N7*(1/(1+Main!$D$50)*Main!$D$72/12+(1-1/(1+Main!$D$50))*Main!$D$71/12)*(1+Main!$C$75)^('Staff Expense'!N$2-YEAR(Main!$H$2))</f>
        <v>38169.375</v>
      </c>
      <c r="O15" s="80">
        <f>+O7*(1/(1+Main!$D$50)*Main!$D$72/12+(1-1/(1+Main!$D$50))*Main!$D$71/12)*(1+Main!$C$75)^('Staff Expense'!O$2-YEAR(Main!$H$2))</f>
        <v>38169.375</v>
      </c>
      <c r="P15" s="80">
        <f>+P7*(1/(1+Main!$D$50)*Main!$D$72/12+(1-1/(1+Main!$D$50))*Main!$D$71/12)*(1+Main!$C$75)^('Staff Expense'!P$2-YEAR(Main!$H$2))</f>
        <v>38169.375</v>
      </c>
      <c r="Q15" s="80">
        <f>+Q7*(1/(1+Main!$D$50)*Main!$D$72/12+(1-1/(1+Main!$D$50))*Main!$D$71/12)*(1+Main!$C$75)^('Staff Expense'!Q$2-YEAR(Main!$H$2))</f>
        <v>38169.375</v>
      </c>
      <c r="R15" s="80">
        <f>+R7*(1/(1+Main!$D$50)*Main!$D$72/12+(1-1/(1+Main!$D$50))*Main!$D$71/12)*(1+Main!$C$75)^('Staff Expense'!R$2-YEAR(Main!$H$2))</f>
        <v>38169.375</v>
      </c>
      <c r="S15" s="80">
        <f>+S7*(1/(1+Main!$D$50)*Main!$D$72/12+(1-1/(1+Main!$D$50))*Main!$D$71/12)*(1+Main!$C$75)^('Staff Expense'!S$2-YEAR(Main!$H$2))</f>
        <v>66796.40625</v>
      </c>
      <c r="T15" s="80">
        <f>+T7*(1/(1+Main!$D$50)*Main!$D$72/12+(1-1/(1+Main!$D$50))*Main!$D$71/12)*(1+Main!$C$75)^('Staff Expense'!T$2-YEAR(Main!$H$2))</f>
        <v>66796.40625</v>
      </c>
      <c r="U15" s="80">
        <f>+U7*(1/(1+Main!$D$50)*Main!$D$72/12+(1-1/(1+Main!$D$50))*Main!$D$71/12)*(1+Main!$C$75)^('Staff Expense'!U$2-YEAR(Main!$H$2))</f>
        <v>66796.40625</v>
      </c>
      <c r="V15" s="80">
        <f>+V7*(1/(1+Main!$D$50)*Main!$D$72/12+(1-1/(1+Main!$D$50))*Main!$D$71/12)*(1+Main!$C$75)^('Staff Expense'!V$2-YEAR(Main!$H$2))</f>
        <v>80155.6875</v>
      </c>
      <c r="W15" s="80">
        <f>+W7*(1/(1+Main!$D$50)*Main!$D$72/12+(1-1/(1+Main!$D$50))*Main!$D$71/12)*(1+Main!$C$75)^('Staff Expense'!W$2-YEAR(Main!$H$2))</f>
        <v>80155.6875</v>
      </c>
      <c r="X15" s="80">
        <f>+X7*(1/(1+Main!$D$50)*Main!$D$72/12+(1-1/(1+Main!$D$50))*Main!$D$71/12)*(1+Main!$C$75)^('Staff Expense'!X$2-YEAR(Main!$H$2))</f>
        <v>80155.6875</v>
      </c>
      <c r="Y15" s="80">
        <f>+Y7*(1/(1+Main!$D$50)*Main!$D$72/12+(1-1/(1+Main!$D$50))*Main!$D$71/12)*(1+Main!$C$75)^('Staff Expense'!Y$2-YEAR(Main!$H$2))</f>
        <v>93514.96875</v>
      </c>
      <c r="Z15" s="80">
        <f>+Z7*(1/(1+Main!$D$50)*Main!$D$72/12+(1-1/(1+Main!$D$50))*Main!$D$71/12)*(1+Main!$C$75)^('Staff Expense'!Z$2-YEAR(Main!$H$2))</f>
        <v>93514.96875</v>
      </c>
      <c r="AA15" s="80">
        <f>+AA7*(1/(1+Main!$D$50)*Main!$D$72/12+(1-1/(1+Main!$D$50))*Main!$D$71/12)*(1+Main!$C$75)^('Staff Expense'!AA$2-YEAR(Main!$H$2))</f>
        <v>93514.96875</v>
      </c>
      <c r="AB15" s="80">
        <f>+AB7*(1/(1+Main!$D$50)*Main!$D$72/12+(1-1/(1+Main!$D$50))*Main!$D$71/12)*(1+Main!$C$75)^('Staff Expense'!AB$2-YEAR(Main!$H$2))</f>
        <v>106874.25</v>
      </c>
      <c r="AC15" s="80">
        <f>+AC7*(1/(1+Main!$D$50)*Main!$D$72/12+(1-1/(1+Main!$D$50))*Main!$D$71/12)*(1+Main!$C$75)^('Staff Expense'!AC$2-YEAR(Main!$H$2))</f>
        <v>106874.25</v>
      </c>
      <c r="AD15" s="80">
        <f>+AD7*(1/(1+Main!$D$50)*Main!$D$72/12+(1-1/(1+Main!$D$50))*Main!$D$71/12)*(1+Main!$C$75)^('Staff Expense'!AD$2-YEAR(Main!$H$2))</f>
        <v>106874.25</v>
      </c>
      <c r="AE15" s="80">
        <f>+AE7*(1/(1+Main!$D$50)*Main!$D$72/12+(1-1/(1+Main!$D$50))*Main!$D$71/12)*(1+Main!$C$75)^('Staff Expense'!AE$2-YEAR(Main!$H$2))</f>
        <v>126245.2078125</v>
      </c>
      <c r="AF15" s="80">
        <f>+AF7*(1/(1+Main!$D$50)*Main!$D$72/12+(1-1/(1+Main!$D$50))*Main!$D$71/12)*(1+Main!$C$75)^('Staff Expense'!AF$2-YEAR(Main!$H$2))</f>
        <v>126245.2078125</v>
      </c>
      <c r="AG15" s="80">
        <f>+AG7*(1/(1+Main!$D$50)*Main!$D$72/12+(1-1/(1+Main!$D$50))*Main!$D$71/12)*(1+Main!$C$75)^('Staff Expense'!AG$2-YEAR(Main!$H$2))</f>
        <v>126245.2078125</v>
      </c>
      <c r="AH15" s="80">
        <f>+AH7*(1/(1+Main!$D$50)*Main!$D$72/12+(1-1/(1+Main!$D$50))*Main!$D$71/12)*(1+Main!$C$75)^('Staff Expense'!AH$2-YEAR(Main!$H$2))</f>
        <v>140272.453125</v>
      </c>
      <c r="AI15" s="80">
        <f>+AI7*(1/(1+Main!$D$50)*Main!$D$72/12+(1-1/(1+Main!$D$50))*Main!$D$71/12)*(1+Main!$C$75)^('Staff Expense'!AI$2-YEAR(Main!$H$2))</f>
        <v>140272.453125</v>
      </c>
      <c r="AJ15" s="80">
        <f>+AJ7*(1/(1+Main!$D$50)*Main!$D$72/12+(1-1/(1+Main!$D$50))*Main!$D$71/12)*(1+Main!$C$75)^('Staff Expense'!AJ$2-YEAR(Main!$H$2))</f>
        <v>140272.453125</v>
      </c>
      <c r="AK15" s="80">
        <f>+AK7*(1/(1+Main!$D$50)*Main!$D$72/12+(1-1/(1+Main!$D$50))*Main!$D$71/12)*(1+Main!$C$75)^('Staff Expense'!AK$2-YEAR(Main!$H$2))</f>
        <v>154299.69843750002</v>
      </c>
      <c r="AL15" s="80">
        <f>+AL7*(1/(1+Main!$D$50)*Main!$D$72/12+(1-1/(1+Main!$D$50))*Main!$D$71/12)*(1+Main!$C$75)^('Staff Expense'!AL$2-YEAR(Main!$H$2))</f>
        <v>154299.69843750002</v>
      </c>
      <c r="AM15" s="80">
        <f>+AM7*(1/(1+Main!$D$50)*Main!$D$72/12+(1-1/(1+Main!$D$50))*Main!$D$71/12)*(1+Main!$C$75)^('Staff Expense'!AM$2-YEAR(Main!$H$2))</f>
        <v>154299.69843750002</v>
      </c>
      <c r="AN15" s="80">
        <f>+AN7*(1/(1+Main!$D$50)*Main!$D$72/12+(1-1/(1+Main!$D$50))*Main!$D$71/12)*(1+Main!$C$75)^('Staff Expense'!AN$2-YEAR(Main!$H$2))</f>
        <v>168326.94375000001</v>
      </c>
      <c r="AO15" s="80">
        <f>+AO7*(1/(1+Main!$D$50)*Main!$D$72/12+(1-1/(1+Main!$D$50))*Main!$D$71/12)*(1+Main!$C$75)^('Staff Expense'!AO$2-YEAR(Main!$H$2))</f>
        <v>168326.94375000001</v>
      </c>
      <c r="AP15" s="80">
        <f>+AP7*(1/(1+Main!$D$50)*Main!$D$72/12+(1-1/(1+Main!$D$50))*Main!$D$71/12)*(1+Main!$C$75)^('Staff Expense'!AP$2-YEAR(Main!$H$2))</f>
        <v>168326.94375000001</v>
      </c>
      <c r="AQ15" s="80">
        <f>+AQ7*(1/(1+Main!$D$50)*Main!$D$72/12+(1-1/(1+Main!$D$50))*Main!$D$71/12)*(1+Main!$C$75)^('Staff Expense'!AQ$2-YEAR(Main!$H$2))</f>
        <v>191471.89851562501</v>
      </c>
      <c r="AR15" s="80">
        <f>+AR7*(1/(1+Main!$D$50)*Main!$D$72/12+(1-1/(1+Main!$D$50))*Main!$D$71/12)*(1+Main!$C$75)^('Staff Expense'!AR$2-YEAR(Main!$H$2))</f>
        <v>191471.89851562501</v>
      </c>
      <c r="AS15" s="80">
        <f>+AS7*(1/(1+Main!$D$50)*Main!$D$72/12+(1-1/(1+Main!$D$50))*Main!$D$71/12)*(1+Main!$C$75)^('Staff Expense'!AS$2-YEAR(Main!$H$2))</f>
        <v>191471.89851562501</v>
      </c>
      <c r="AT15" s="80">
        <f>+AT7*(1/(1+Main!$D$50)*Main!$D$72/12+(1-1/(1+Main!$D$50))*Main!$D$71/12)*(1+Main!$C$75)^('Staff Expense'!AT$2-YEAR(Main!$H$2))</f>
        <v>191471.89851562501</v>
      </c>
      <c r="AU15" s="80">
        <f>+AU7*(1/(1+Main!$D$50)*Main!$D$72/12+(1-1/(1+Main!$D$50))*Main!$D$71/12)*(1+Main!$C$75)^('Staff Expense'!AU$2-YEAR(Main!$H$2))</f>
        <v>191471.89851562501</v>
      </c>
      <c r="AV15" s="80">
        <f>+AV7*(1/(1+Main!$D$50)*Main!$D$72/12+(1-1/(1+Main!$D$50))*Main!$D$71/12)*(1+Main!$C$75)^('Staff Expense'!AV$2-YEAR(Main!$H$2))</f>
        <v>191471.89851562501</v>
      </c>
      <c r="AW15" s="80">
        <f>+AW7*(1/(1+Main!$D$50)*Main!$D$72/12+(1-1/(1+Main!$D$50))*Main!$D$71/12)*(1+Main!$C$75)^('Staff Expense'!AW$2-YEAR(Main!$H$2))</f>
        <v>191471.89851562501</v>
      </c>
      <c r="AX15" s="80">
        <f>+AX7*(1/(1+Main!$D$50)*Main!$D$72/12+(1-1/(1+Main!$D$50))*Main!$D$71/12)*(1+Main!$C$75)^('Staff Expense'!AX$2-YEAR(Main!$H$2))</f>
        <v>191471.89851562501</v>
      </c>
      <c r="AY15" s="80">
        <f>+AY7*(1/(1+Main!$D$50)*Main!$D$72/12+(1-1/(1+Main!$D$50))*Main!$D$71/12)*(1+Main!$C$75)^('Staff Expense'!AY$2-YEAR(Main!$H$2))</f>
        <v>191471.89851562501</v>
      </c>
      <c r="AZ15" s="80">
        <f>+AZ7*(1/(1+Main!$D$50)*Main!$D$72/12+(1-1/(1+Main!$D$50))*Main!$D$71/12)*(1+Main!$C$75)^('Staff Expense'!AZ$2-YEAR(Main!$H$2))</f>
        <v>191471.89851562501</v>
      </c>
      <c r="BA15" s="80">
        <f>+BA7*(1/(1+Main!$D$50)*Main!$D$72/12+(1-1/(1+Main!$D$50))*Main!$D$71/12)*(1+Main!$C$75)^('Staff Expense'!BA$2-YEAR(Main!$H$2))</f>
        <v>191471.89851562501</v>
      </c>
      <c r="BB15" s="80">
        <f>+BB7*(1/(1+Main!$D$50)*Main!$D$72/12+(1-1/(1+Main!$D$50))*Main!$D$71/12)*(1+Main!$C$75)^('Staff Expense'!BB$2-YEAR(Main!$H$2))</f>
        <v>191471.89851562501</v>
      </c>
      <c r="BC15" s="3"/>
      <c r="BD15" s="3"/>
      <c r="BE15" s="3"/>
      <c r="BF15" s="3"/>
      <c r="BG15" s="3"/>
      <c r="BH15" s="3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s="54" customFormat="1" x14ac:dyDescent="0.15">
      <c r="A16" s="95" t="s">
        <v>61</v>
      </c>
      <c r="C16" s="82">
        <f t="shared" ca="1" si="6"/>
        <v>0</v>
      </c>
      <c r="D16" s="77">
        <f t="shared" ca="1" si="7"/>
        <v>18884.25</v>
      </c>
      <c r="E16" s="77">
        <f t="shared" ca="1" si="7"/>
        <v>79313.85000000002</v>
      </c>
      <c r="F16" s="77">
        <f t="shared" ca="1" si="7"/>
        <v>256778.58937500001</v>
      </c>
      <c r="G16" s="77">
        <f>+G8*Main!$D$73/12*(1+Main!$C$75)^('Staff Expense'!G$2-YEAR(Main!$H$2))</f>
        <v>0</v>
      </c>
      <c r="H16" s="80">
        <f ca="1">+H8*Main!$D$73/12*(1+Main!$C$75)^('Staff Expense'!H$2-YEAR(Main!$H$2))</f>
        <v>0</v>
      </c>
      <c r="I16" s="80">
        <f ca="1">+I8*Main!$D$73/12*(1+Main!$C$75)^('Staff Expense'!I$2-YEAR(Main!$H$2))</f>
        <v>0</v>
      </c>
      <c r="J16" s="80">
        <f ca="1">+J8*Main!$D$73/12*(1+Main!$C$75)^('Staff Expense'!J$2-YEAR(Main!$H$2))</f>
        <v>0</v>
      </c>
      <c r="K16" s="80">
        <f ca="1">+K8*Main!$D$73/12*(1+Main!$C$75)^('Staff Expense'!K$2-YEAR(Main!$H$2))</f>
        <v>0</v>
      </c>
      <c r="L16" s="80">
        <f ca="1">+L8*Main!$D$73/12*(1+Main!$C$75)^('Staff Expense'!L$2-YEAR(Main!$H$2))</f>
        <v>0</v>
      </c>
      <c r="M16" s="80">
        <f ca="1">+M8*Main!$D$73/12*(1+Main!$C$75)^('Staff Expense'!M$2-YEAR(Main!$H$2))</f>
        <v>0</v>
      </c>
      <c r="N16" s="80">
        <f ca="1">+N8*Main!$D$73/12*(1+Main!$C$75)^('Staff Expense'!N$2-YEAR(Main!$H$2))</f>
        <v>0</v>
      </c>
      <c r="O16" s="80">
        <f ca="1">+O8*Main!$D$73/12*(1+Main!$C$75)^('Staff Expense'!O$2-YEAR(Main!$H$2))</f>
        <v>0</v>
      </c>
      <c r="P16" s="80">
        <f ca="1">+P8*Main!$D$73/12*(1+Main!$C$75)^('Staff Expense'!P$2-YEAR(Main!$H$2))</f>
        <v>0</v>
      </c>
      <c r="Q16" s="80">
        <f ca="1">+Q8*Main!$D$73/12*(1+Main!$C$75)^('Staff Expense'!Q$2-YEAR(Main!$H$2))</f>
        <v>0</v>
      </c>
      <c r="R16" s="80">
        <f ca="1">+R8*Main!$D$73/12*(1+Main!$C$75)^('Staff Expense'!R$2-YEAR(Main!$H$2))</f>
        <v>0</v>
      </c>
      <c r="S16" s="80">
        <f ca="1">+S8*Main!$D$73/12*(1+Main!$C$75)^('Staff Expense'!S$2-YEAR(Main!$H$2))</f>
        <v>0</v>
      </c>
      <c r="T16" s="80">
        <f ca="1">+T8*Main!$D$73/12*(1+Main!$C$75)^('Staff Expense'!T$2-YEAR(Main!$H$2))</f>
        <v>0</v>
      </c>
      <c r="U16" s="80">
        <f ca="1">+U8*Main!$D$73/12*(1+Main!$C$75)^('Staff Expense'!U$2-YEAR(Main!$H$2))</f>
        <v>0</v>
      </c>
      <c r="V16" s="80">
        <f ca="1">+V8*Main!$D$73/12*(1+Main!$C$75)^('Staff Expense'!V$2-YEAR(Main!$H$2))</f>
        <v>0</v>
      </c>
      <c r="W16" s="80">
        <f ca="1">+W8*Main!$D$73/12*(1+Main!$C$75)^('Staff Expense'!W$2-YEAR(Main!$H$2))</f>
        <v>0</v>
      </c>
      <c r="X16" s="80">
        <f ca="1">+X8*Main!$D$73/12*(1+Main!$C$75)^('Staff Expense'!X$2-YEAR(Main!$H$2))</f>
        <v>0</v>
      </c>
      <c r="Y16" s="80">
        <f ca="1">+Y8*Main!$D$73/12*(1+Main!$C$75)^('Staff Expense'!Y$2-YEAR(Main!$H$2))</f>
        <v>0</v>
      </c>
      <c r="Z16" s="80">
        <f ca="1">+Z8*Main!$D$73/12*(1+Main!$C$75)^('Staff Expense'!Z$2-YEAR(Main!$H$2))</f>
        <v>0</v>
      </c>
      <c r="AA16" s="80">
        <f ca="1">+AA8*Main!$D$73/12*(1+Main!$C$75)^('Staff Expense'!AA$2-YEAR(Main!$H$2))</f>
        <v>0</v>
      </c>
      <c r="AB16" s="80">
        <f ca="1">+AB8*Main!$D$73/12*(1+Main!$C$75)^('Staff Expense'!AB$2-YEAR(Main!$H$2))</f>
        <v>6294.75</v>
      </c>
      <c r="AC16" s="80">
        <f ca="1">+AC8*Main!$D$73/12*(1+Main!$C$75)^('Staff Expense'!AC$2-YEAR(Main!$H$2))</f>
        <v>6294.75</v>
      </c>
      <c r="AD16" s="80">
        <f ca="1">+AD8*Main!$D$73/12*(1+Main!$C$75)^('Staff Expense'!AD$2-YEAR(Main!$H$2))</f>
        <v>6294.75</v>
      </c>
      <c r="AE16" s="80">
        <f ca="1">+AE8*Main!$D$73/12*(1+Main!$C$75)^('Staff Expense'!AE$2-YEAR(Main!$H$2))</f>
        <v>6609.4875000000002</v>
      </c>
      <c r="AF16" s="80">
        <f ca="1">+AF8*Main!$D$73/12*(1+Main!$C$75)^('Staff Expense'!AF$2-YEAR(Main!$H$2))</f>
        <v>6609.4875000000002</v>
      </c>
      <c r="AG16" s="80">
        <f ca="1">+AG8*Main!$D$73/12*(1+Main!$C$75)^('Staff Expense'!AG$2-YEAR(Main!$H$2))</f>
        <v>6609.4875000000002</v>
      </c>
      <c r="AH16" s="80">
        <f ca="1">+AH8*Main!$D$73/12*(1+Main!$C$75)^('Staff Expense'!AH$2-YEAR(Main!$H$2))</f>
        <v>6609.4875000000002</v>
      </c>
      <c r="AI16" s="80">
        <f ca="1">+AI8*Main!$D$73/12*(1+Main!$C$75)^('Staff Expense'!AI$2-YEAR(Main!$H$2))</f>
        <v>6609.4875000000002</v>
      </c>
      <c r="AJ16" s="80">
        <f ca="1">+AJ8*Main!$D$73/12*(1+Main!$C$75)^('Staff Expense'!AJ$2-YEAR(Main!$H$2))</f>
        <v>6609.4875000000002</v>
      </c>
      <c r="AK16" s="80">
        <f ca="1">+AK8*Main!$D$73/12*(1+Main!$C$75)^('Staff Expense'!AK$2-YEAR(Main!$H$2))</f>
        <v>6609.4875000000002</v>
      </c>
      <c r="AL16" s="80">
        <f ca="1">+AL8*Main!$D$73/12*(1+Main!$C$75)^('Staff Expense'!AL$2-YEAR(Main!$H$2))</f>
        <v>6609.4875000000002</v>
      </c>
      <c r="AM16" s="80">
        <f ca="1">+AM8*Main!$D$73/12*(1+Main!$C$75)^('Staff Expense'!AM$2-YEAR(Main!$H$2))</f>
        <v>6609.4875000000002</v>
      </c>
      <c r="AN16" s="80">
        <f ca="1">+AN8*Main!$D$73/12*(1+Main!$C$75)^('Staff Expense'!AN$2-YEAR(Main!$H$2))</f>
        <v>6609.4875000000002</v>
      </c>
      <c r="AO16" s="80">
        <f ca="1">+AO8*Main!$D$73/12*(1+Main!$C$75)^('Staff Expense'!AO$2-YEAR(Main!$H$2))</f>
        <v>6609.4875000000002</v>
      </c>
      <c r="AP16" s="80">
        <f ca="1">+AP8*Main!$D$73/12*(1+Main!$C$75)^('Staff Expense'!AP$2-YEAR(Main!$H$2))</f>
        <v>6609.4875000000002</v>
      </c>
      <c r="AQ16" s="80">
        <f ca="1">+AQ8*Main!$D$73/12*(1+Main!$C$75)^('Staff Expense'!AQ$2-YEAR(Main!$H$2))</f>
        <v>13879.923750000002</v>
      </c>
      <c r="AR16" s="80">
        <f ca="1">+AR8*Main!$D$73/12*(1+Main!$C$75)^('Staff Expense'!AR$2-YEAR(Main!$H$2))</f>
        <v>13879.923750000002</v>
      </c>
      <c r="AS16" s="80">
        <f ca="1">+AS8*Main!$D$73/12*(1+Main!$C$75)^('Staff Expense'!AS$2-YEAR(Main!$H$2))</f>
        <v>13879.923750000002</v>
      </c>
      <c r="AT16" s="80">
        <f ca="1">+AT8*Main!$D$73/12*(1+Main!$C$75)^('Staff Expense'!AT$2-YEAR(Main!$H$2))</f>
        <v>20819.885625000003</v>
      </c>
      <c r="AU16" s="80">
        <f ca="1">+AU8*Main!$D$73/12*(1+Main!$C$75)^('Staff Expense'!AU$2-YEAR(Main!$H$2))</f>
        <v>20819.885625000003</v>
      </c>
      <c r="AV16" s="80">
        <f ca="1">+AV8*Main!$D$73/12*(1+Main!$C$75)^('Staff Expense'!AV$2-YEAR(Main!$H$2))</f>
        <v>20819.885625000003</v>
      </c>
      <c r="AW16" s="80">
        <f ca="1">+AW8*Main!$D$73/12*(1+Main!$C$75)^('Staff Expense'!AW$2-YEAR(Main!$H$2))</f>
        <v>20819.885625000003</v>
      </c>
      <c r="AX16" s="80">
        <f ca="1">+AX8*Main!$D$73/12*(1+Main!$C$75)^('Staff Expense'!AX$2-YEAR(Main!$H$2))</f>
        <v>20819.885625000003</v>
      </c>
      <c r="AY16" s="80">
        <f ca="1">+AY8*Main!$D$73/12*(1+Main!$C$75)^('Staff Expense'!AY$2-YEAR(Main!$H$2))</f>
        <v>27759.847500000003</v>
      </c>
      <c r="AZ16" s="80">
        <f ca="1">+AZ8*Main!$D$73/12*(1+Main!$C$75)^('Staff Expense'!AZ$2-YEAR(Main!$H$2))</f>
        <v>27759.847500000003</v>
      </c>
      <c r="BA16" s="80">
        <f ca="1">+BA8*Main!$D$73/12*(1+Main!$C$75)^('Staff Expense'!BA$2-YEAR(Main!$H$2))</f>
        <v>27759.847500000003</v>
      </c>
      <c r="BB16" s="80">
        <f ca="1">+BB8*Main!$D$73/12*(1+Main!$C$75)^('Staff Expense'!BB$2-YEAR(Main!$H$2))</f>
        <v>27759.847500000003</v>
      </c>
      <c r="BC16" s="3"/>
      <c r="BD16" s="3"/>
      <c r="BE16" s="3"/>
      <c r="BF16" s="3"/>
      <c r="BG16" s="3"/>
      <c r="BH16" s="3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s="54" customFormat="1" x14ac:dyDescent="0.15">
      <c r="A17" s="95" t="s">
        <v>86</v>
      </c>
      <c r="C17" s="82">
        <f t="shared" si="6"/>
        <v>57500.000000000007</v>
      </c>
      <c r="D17" s="77">
        <f t="shared" si="7"/>
        <v>120750.00000000001</v>
      </c>
      <c r="E17" s="77">
        <f t="shared" si="7"/>
        <v>253575.00000000003</v>
      </c>
      <c r="F17" s="77">
        <f t="shared" si="7"/>
        <v>266253.75000000006</v>
      </c>
      <c r="G17" s="80">
        <f>+G9*Main!$D$74/12*(1+Main!$C$75)^('Staff Expense'!G$2-YEAR(Main!$H$2))</f>
        <v>0</v>
      </c>
      <c r="H17" s="80">
        <f>+H9*Main!$D$74/12*(1+Main!$C$75)^('Staff Expense'!H$2-YEAR(Main!$H$2))</f>
        <v>0</v>
      </c>
      <c r="I17" s="80">
        <f>+I9*Main!$D$74/12*(1+Main!$C$75)^('Staff Expense'!I$2-YEAR(Main!$H$2))</f>
        <v>0</v>
      </c>
      <c r="J17" s="80">
        <f>+J9*Main!$D$74/12*(1+Main!$C$75)^('Staff Expense'!J$2-YEAR(Main!$H$2))</f>
        <v>0</v>
      </c>
      <c r="K17" s="80">
        <f>+K9*Main!$D$74/12*(1+Main!$C$75)^('Staff Expense'!K$2-YEAR(Main!$H$2))</f>
        <v>0</v>
      </c>
      <c r="L17" s="80">
        <f>+L9*Main!$D$74/12*(1+Main!$C$75)^('Staff Expense'!L$2-YEAR(Main!$H$2))</f>
        <v>0</v>
      </c>
      <c r="M17" s="80">
        <f>+M9*Main!$D$74/12*(1+Main!$C$75)^('Staff Expense'!M$2-YEAR(Main!$H$2))</f>
        <v>9583.3333333333339</v>
      </c>
      <c r="N17" s="80">
        <f>+N9*Main!$D$74/12*(1+Main!$C$75)^('Staff Expense'!N$2-YEAR(Main!$H$2))</f>
        <v>9583.3333333333339</v>
      </c>
      <c r="O17" s="80">
        <f>+O9*Main!$D$74/12*(1+Main!$C$75)^('Staff Expense'!O$2-YEAR(Main!$H$2))</f>
        <v>9583.3333333333339</v>
      </c>
      <c r="P17" s="80">
        <f>+P9*Main!$D$74/12*(1+Main!$C$75)^('Staff Expense'!P$2-YEAR(Main!$H$2))</f>
        <v>9583.3333333333339</v>
      </c>
      <c r="Q17" s="80">
        <f>+Q9*Main!$D$74/12*(1+Main!$C$75)^('Staff Expense'!Q$2-YEAR(Main!$H$2))</f>
        <v>9583.3333333333339</v>
      </c>
      <c r="R17" s="80">
        <f>+R9*Main!$D$74/12*(1+Main!$C$75)^('Staff Expense'!R$2-YEAR(Main!$H$2))</f>
        <v>9583.3333333333339</v>
      </c>
      <c r="S17" s="80">
        <f>+S9*Main!$D$74/12*(1+Main!$C$75)^('Staff Expense'!S$2-YEAR(Main!$H$2))</f>
        <v>10062.500000000002</v>
      </c>
      <c r="T17" s="80">
        <f>+T9*Main!$D$74/12*(1+Main!$C$75)^('Staff Expense'!T$2-YEAR(Main!$H$2))</f>
        <v>10062.500000000002</v>
      </c>
      <c r="U17" s="80">
        <f>+U9*Main!$D$74/12*(1+Main!$C$75)^('Staff Expense'!U$2-YEAR(Main!$H$2))</f>
        <v>10062.500000000002</v>
      </c>
      <c r="V17" s="80">
        <f>+V9*Main!$D$74/12*(1+Main!$C$75)^('Staff Expense'!V$2-YEAR(Main!$H$2))</f>
        <v>10062.500000000002</v>
      </c>
      <c r="W17" s="80">
        <f>+W9*Main!$D$74/12*(1+Main!$C$75)^('Staff Expense'!W$2-YEAR(Main!$H$2))</f>
        <v>10062.500000000002</v>
      </c>
      <c r="X17" s="80">
        <f>+X9*Main!$D$74/12*(1+Main!$C$75)^('Staff Expense'!X$2-YEAR(Main!$H$2))</f>
        <v>10062.500000000002</v>
      </c>
      <c r="Y17" s="80">
        <f>+Y9*Main!$D$74/12*(1+Main!$C$75)^('Staff Expense'!Y$2-YEAR(Main!$H$2))</f>
        <v>10062.500000000002</v>
      </c>
      <c r="Z17" s="80">
        <f>+Z9*Main!$D$74/12*(1+Main!$C$75)^('Staff Expense'!Z$2-YEAR(Main!$H$2))</f>
        <v>10062.500000000002</v>
      </c>
      <c r="AA17" s="80">
        <f>+AA9*Main!$D$74/12*(1+Main!$C$75)^('Staff Expense'!AA$2-YEAR(Main!$H$2))</f>
        <v>10062.500000000002</v>
      </c>
      <c r="AB17" s="80">
        <f>+AB9*Main!$D$74/12*(1+Main!$C$75)^('Staff Expense'!AB$2-YEAR(Main!$H$2))</f>
        <v>10062.500000000002</v>
      </c>
      <c r="AC17" s="80">
        <f>+AC9*Main!$D$74/12*(1+Main!$C$75)^('Staff Expense'!AC$2-YEAR(Main!$H$2))</f>
        <v>10062.500000000002</v>
      </c>
      <c r="AD17" s="80">
        <f>+AD9*Main!$D$74/12*(1+Main!$C$75)^('Staff Expense'!AD$2-YEAR(Main!$H$2))</f>
        <v>10062.500000000002</v>
      </c>
      <c r="AE17" s="80">
        <f>+AE9*Main!$D$74/12*(1+Main!$C$75)^('Staff Expense'!AE$2-YEAR(Main!$H$2))</f>
        <v>21131.250000000004</v>
      </c>
      <c r="AF17" s="80">
        <f>+AF9*Main!$D$74/12*(1+Main!$C$75)^('Staff Expense'!AF$2-YEAR(Main!$H$2))</f>
        <v>21131.250000000004</v>
      </c>
      <c r="AG17" s="80">
        <f>+AG9*Main!$D$74/12*(1+Main!$C$75)^('Staff Expense'!AG$2-YEAR(Main!$H$2))</f>
        <v>21131.250000000004</v>
      </c>
      <c r="AH17" s="80">
        <f>+AH9*Main!$D$74/12*(1+Main!$C$75)^('Staff Expense'!AH$2-YEAR(Main!$H$2))</f>
        <v>21131.250000000004</v>
      </c>
      <c r="AI17" s="80">
        <f>+AI9*Main!$D$74/12*(1+Main!$C$75)^('Staff Expense'!AI$2-YEAR(Main!$H$2))</f>
        <v>21131.250000000004</v>
      </c>
      <c r="AJ17" s="80">
        <f>+AJ9*Main!$D$74/12*(1+Main!$C$75)^('Staff Expense'!AJ$2-YEAR(Main!$H$2))</f>
        <v>21131.250000000004</v>
      </c>
      <c r="AK17" s="80">
        <f>+AK9*Main!$D$74/12*(1+Main!$C$75)^('Staff Expense'!AK$2-YEAR(Main!$H$2))</f>
        <v>21131.250000000004</v>
      </c>
      <c r="AL17" s="80">
        <f>+AL9*Main!$D$74/12*(1+Main!$C$75)^('Staff Expense'!AL$2-YEAR(Main!$H$2))</f>
        <v>21131.250000000004</v>
      </c>
      <c r="AM17" s="80">
        <f>+AM9*Main!$D$74/12*(1+Main!$C$75)^('Staff Expense'!AM$2-YEAR(Main!$H$2))</f>
        <v>21131.250000000004</v>
      </c>
      <c r="AN17" s="80">
        <f>+AN9*Main!$D$74/12*(1+Main!$C$75)^('Staff Expense'!AN$2-YEAR(Main!$H$2))</f>
        <v>21131.250000000004</v>
      </c>
      <c r="AO17" s="80">
        <f>+AO9*Main!$D$74/12*(1+Main!$C$75)^('Staff Expense'!AO$2-YEAR(Main!$H$2))</f>
        <v>21131.250000000004</v>
      </c>
      <c r="AP17" s="80">
        <f>+AP9*Main!$D$74/12*(1+Main!$C$75)^('Staff Expense'!AP$2-YEAR(Main!$H$2))</f>
        <v>21131.250000000004</v>
      </c>
      <c r="AQ17" s="80">
        <f>+AQ9*Main!$D$74/12*(1+Main!$C$75)^('Staff Expense'!AQ$2-YEAR(Main!$H$2))</f>
        <v>22187.812500000004</v>
      </c>
      <c r="AR17" s="80">
        <f>+AR9*Main!$D$74/12*(1+Main!$C$75)^('Staff Expense'!AR$2-YEAR(Main!$H$2))</f>
        <v>22187.812500000004</v>
      </c>
      <c r="AS17" s="80">
        <f>+AS9*Main!$D$74/12*(1+Main!$C$75)^('Staff Expense'!AS$2-YEAR(Main!$H$2))</f>
        <v>22187.812500000004</v>
      </c>
      <c r="AT17" s="80">
        <f>+AT9*Main!$D$74/12*(1+Main!$C$75)^('Staff Expense'!AT$2-YEAR(Main!$H$2))</f>
        <v>22187.812500000004</v>
      </c>
      <c r="AU17" s="80">
        <f>+AU9*Main!$D$74/12*(1+Main!$C$75)^('Staff Expense'!AU$2-YEAR(Main!$H$2))</f>
        <v>22187.812500000004</v>
      </c>
      <c r="AV17" s="80">
        <f>+AV9*Main!$D$74/12*(1+Main!$C$75)^('Staff Expense'!AV$2-YEAR(Main!$H$2))</f>
        <v>22187.812500000004</v>
      </c>
      <c r="AW17" s="80">
        <f>+AW9*Main!$D$74/12*(1+Main!$C$75)^('Staff Expense'!AW$2-YEAR(Main!$H$2))</f>
        <v>22187.812500000004</v>
      </c>
      <c r="AX17" s="80">
        <f>+AX9*Main!$D$74/12*(1+Main!$C$75)^('Staff Expense'!AX$2-YEAR(Main!$H$2))</f>
        <v>22187.812500000004</v>
      </c>
      <c r="AY17" s="80">
        <f>+AY9*Main!$D$74/12*(1+Main!$C$75)^('Staff Expense'!AY$2-YEAR(Main!$H$2))</f>
        <v>22187.812500000004</v>
      </c>
      <c r="AZ17" s="80">
        <f>+AZ9*Main!$D$74/12*(1+Main!$C$75)^('Staff Expense'!AZ$2-YEAR(Main!$H$2))</f>
        <v>22187.812500000004</v>
      </c>
      <c r="BA17" s="80">
        <f>+BA9*Main!$D$74/12*(1+Main!$C$75)^('Staff Expense'!BA$2-YEAR(Main!$H$2))</f>
        <v>22187.812500000004</v>
      </c>
      <c r="BB17" s="80">
        <f>+BB9*Main!$D$74/12*(1+Main!$C$75)^('Staff Expense'!BB$2-YEAR(Main!$H$2))</f>
        <v>22187.812500000004</v>
      </c>
      <c r="BC17" s="3"/>
      <c r="BD17" s="3"/>
      <c r="BE17" s="3"/>
      <c r="BF17" s="3"/>
      <c r="BG17" s="3"/>
      <c r="BH17" s="3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</row>
    <row r="18" spans="1:71" s="54" customFormat="1" x14ac:dyDescent="0.15">
      <c r="A18" s="95" t="s">
        <v>85</v>
      </c>
      <c r="C18" s="82">
        <f t="shared" si="6"/>
        <v>222649.99999999997</v>
      </c>
      <c r="D18" s="77">
        <f t="shared" si="7"/>
        <v>1367265.375</v>
      </c>
      <c r="E18" s="77">
        <f t="shared" si="7"/>
        <v>2291300.9437500001</v>
      </c>
      <c r="F18" s="77">
        <f t="shared" si="7"/>
        <v>2405865.9909374998</v>
      </c>
      <c r="G18" s="80">
        <f>SUMIFS('Corp Employees'!$I:$I,'Corp Employees'!$F:$F,"&lt;="&amp;'Staff Expense'!G$3,'Corp Employees'!$G:$G,"&gt;"&amp;'Staff Expense'!G$3)/12*(1+Main!$C$75)^('Staff Expense'!G$2-YEAR(Main!$H$2))</f>
        <v>18554.166666666668</v>
      </c>
      <c r="H18" s="80">
        <f>SUMIFS('Corp Employees'!$I:$I,'Corp Employees'!$F:$F,"&lt;="&amp;'Staff Expense'!H$3,'Corp Employees'!$G:$G,"&gt;"&amp;'Staff Expense'!H$3)/12*(1+Main!$C$75)^('Staff Expense'!H$2-YEAR(Main!$H$2))</f>
        <v>18554.166666666668</v>
      </c>
      <c r="I18" s="80">
        <f>SUMIFS('Corp Employees'!$I:$I,'Corp Employees'!$F:$F,"&lt;="&amp;'Staff Expense'!I$3,'Corp Employees'!$G:$G,"&gt;"&amp;'Staff Expense'!I$3)/12*(1+Main!$C$75)^('Staff Expense'!I$2-YEAR(Main!$H$2))</f>
        <v>18554.166666666668</v>
      </c>
      <c r="J18" s="80">
        <f>SUMIFS('Corp Employees'!$I:$I,'Corp Employees'!$F:$F,"&lt;="&amp;'Staff Expense'!J$3,'Corp Employees'!$G:$G,"&gt;"&amp;'Staff Expense'!J$3)/12*(1+Main!$C$75)^('Staff Expense'!J$2-YEAR(Main!$H$2))</f>
        <v>18554.166666666668</v>
      </c>
      <c r="K18" s="80">
        <f>SUMIFS('Corp Employees'!$I:$I,'Corp Employees'!$F:$F,"&lt;="&amp;'Staff Expense'!K$3,'Corp Employees'!$G:$G,"&gt;"&amp;'Staff Expense'!K$3)/12*(1+Main!$C$75)^('Staff Expense'!K$2-YEAR(Main!$H$2))</f>
        <v>18554.166666666668</v>
      </c>
      <c r="L18" s="80">
        <f>SUMIFS('Corp Employees'!$I:$I,'Corp Employees'!$F:$F,"&lt;="&amp;'Staff Expense'!L$3,'Corp Employees'!$G:$G,"&gt;"&amp;'Staff Expense'!L$3)/12*(1+Main!$C$75)^('Staff Expense'!L$2-YEAR(Main!$H$2))</f>
        <v>18554.166666666668</v>
      </c>
      <c r="M18" s="80">
        <f>SUMIFS('Corp Employees'!$I:$I,'Corp Employees'!$F:$F,"&lt;="&amp;'Staff Expense'!M$3,'Corp Employees'!$G:$G,"&gt;"&amp;'Staff Expense'!M$3)/12*(1+Main!$C$75)^('Staff Expense'!M$2-YEAR(Main!$H$2))</f>
        <v>18554.166666666668</v>
      </c>
      <c r="N18" s="80">
        <f>SUMIFS('Corp Employees'!$I:$I,'Corp Employees'!$F:$F,"&lt;="&amp;'Staff Expense'!N$3,'Corp Employees'!$G:$G,"&gt;"&amp;'Staff Expense'!N$3)/12*(1+Main!$C$75)^('Staff Expense'!N$2-YEAR(Main!$H$2))</f>
        <v>18554.166666666668</v>
      </c>
      <c r="O18" s="80">
        <f>SUMIFS('Corp Employees'!$I:$I,'Corp Employees'!$F:$F,"&lt;="&amp;'Staff Expense'!O$3,'Corp Employees'!$G:$G,"&gt;"&amp;'Staff Expense'!O$3)/12*(1+Main!$C$75)^('Staff Expense'!O$2-YEAR(Main!$H$2))</f>
        <v>18554.166666666668</v>
      </c>
      <c r="P18" s="80">
        <f>SUMIFS('Corp Employees'!$I:$I,'Corp Employees'!$F:$F,"&lt;="&amp;'Staff Expense'!P$3,'Corp Employees'!$G:$G,"&gt;"&amp;'Staff Expense'!P$3)/12*(1+Main!$C$75)^('Staff Expense'!P$2-YEAR(Main!$H$2))</f>
        <v>18554.166666666668</v>
      </c>
      <c r="Q18" s="80">
        <f>SUMIFS('Corp Employees'!$I:$I,'Corp Employees'!$F:$F,"&lt;="&amp;'Staff Expense'!Q$3,'Corp Employees'!$G:$G,"&gt;"&amp;'Staff Expense'!Q$3)/12*(1+Main!$C$75)^('Staff Expense'!Q$2-YEAR(Main!$H$2))</f>
        <v>18554.166666666668</v>
      </c>
      <c r="R18" s="80">
        <f>SUMIFS('Corp Employees'!$I:$I,'Corp Employees'!$F:$F,"&lt;="&amp;'Staff Expense'!R$3,'Corp Employees'!$G:$G,"&gt;"&amp;'Staff Expense'!R$3)/12*(1+Main!$C$75)^('Staff Expense'!R$2-YEAR(Main!$H$2))</f>
        <v>18554.166666666668</v>
      </c>
      <c r="S18" s="80">
        <f>SUMIFS('Corp Employees'!$I:$I,'Corp Employees'!$F:$F,"&lt;="&amp;'Staff Expense'!S$3,'Corp Employees'!$G:$G,"&gt;"&amp;'Staff Expense'!S$3)/12*(1+Main!$C$75)^('Staff Expense'!S$2-YEAR(Main!$H$2))</f>
        <v>113938.78125</v>
      </c>
      <c r="T18" s="80">
        <f>SUMIFS('Corp Employees'!$I:$I,'Corp Employees'!$F:$F,"&lt;="&amp;'Staff Expense'!T$3,'Corp Employees'!$G:$G,"&gt;"&amp;'Staff Expense'!T$3)/12*(1+Main!$C$75)^('Staff Expense'!T$2-YEAR(Main!$H$2))</f>
        <v>113938.78125</v>
      </c>
      <c r="U18" s="80">
        <f>SUMIFS('Corp Employees'!$I:$I,'Corp Employees'!$F:$F,"&lt;="&amp;'Staff Expense'!U$3,'Corp Employees'!$G:$G,"&gt;"&amp;'Staff Expense'!U$3)/12*(1+Main!$C$75)^('Staff Expense'!U$2-YEAR(Main!$H$2))</f>
        <v>113938.78125</v>
      </c>
      <c r="V18" s="80">
        <f>SUMIFS('Corp Employees'!$I:$I,'Corp Employees'!$F:$F,"&lt;="&amp;'Staff Expense'!V$3,'Corp Employees'!$G:$G,"&gt;"&amp;'Staff Expense'!V$3)/12*(1+Main!$C$75)^('Staff Expense'!V$2-YEAR(Main!$H$2))</f>
        <v>113938.78125</v>
      </c>
      <c r="W18" s="80">
        <f>SUMIFS('Corp Employees'!$I:$I,'Corp Employees'!$F:$F,"&lt;="&amp;'Staff Expense'!W$3,'Corp Employees'!$G:$G,"&gt;"&amp;'Staff Expense'!W$3)/12*(1+Main!$C$75)^('Staff Expense'!W$2-YEAR(Main!$H$2))</f>
        <v>113938.78125</v>
      </c>
      <c r="X18" s="80">
        <f>SUMIFS('Corp Employees'!$I:$I,'Corp Employees'!$F:$F,"&lt;="&amp;'Staff Expense'!X$3,'Corp Employees'!$G:$G,"&gt;"&amp;'Staff Expense'!X$3)/12*(1+Main!$C$75)^('Staff Expense'!X$2-YEAR(Main!$H$2))</f>
        <v>113938.78125</v>
      </c>
      <c r="Y18" s="80">
        <f>SUMIFS('Corp Employees'!$I:$I,'Corp Employees'!$F:$F,"&lt;="&amp;'Staff Expense'!Y$3,'Corp Employees'!$G:$G,"&gt;"&amp;'Staff Expense'!Y$3)/12*(1+Main!$C$75)^('Staff Expense'!Y$2-YEAR(Main!$H$2))</f>
        <v>113938.78125</v>
      </c>
      <c r="Z18" s="80">
        <f>SUMIFS('Corp Employees'!$I:$I,'Corp Employees'!$F:$F,"&lt;="&amp;'Staff Expense'!Z$3,'Corp Employees'!$G:$G,"&gt;"&amp;'Staff Expense'!Z$3)/12*(1+Main!$C$75)^('Staff Expense'!Z$2-YEAR(Main!$H$2))</f>
        <v>113938.78125</v>
      </c>
      <c r="AA18" s="80">
        <f>SUMIFS('Corp Employees'!$I:$I,'Corp Employees'!$F:$F,"&lt;="&amp;'Staff Expense'!AA$3,'Corp Employees'!$G:$G,"&gt;"&amp;'Staff Expense'!AA$3)/12*(1+Main!$C$75)^('Staff Expense'!AA$2-YEAR(Main!$H$2))</f>
        <v>113938.78125</v>
      </c>
      <c r="AB18" s="80">
        <f>SUMIFS('Corp Employees'!$I:$I,'Corp Employees'!$F:$F,"&lt;="&amp;'Staff Expense'!AB$3,'Corp Employees'!$G:$G,"&gt;"&amp;'Staff Expense'!AB$3)/12*(1+Main!$C$75)^('Staff Expense'!AB$2-YEAR(Main!$H$2))</f>
        <v>113938.78125</v>
      </c>
      <c r="AC18" s="80">
        <f>SUMIFS('Corp Employees'!$I:$I,'Corp Employees'!$F:$F,"&lt;="&amp;'Staff Expense'!AC$3,'Corp Employees'!$G:$G,"&gt;"&amp;'Staff Expense'!AC$3)/12*(1+Main!$C$75)^('Staff Expense'!AC$2-YEAR(Main!$H$2))</f>
        <v>113938.78125</v>
      </c>
      <c r="AD18" s="80">
        <f>SUMIFS('Corp Employees'!$I:$I,'Corp Employees'!$F:$F,"&lt;="&amp;'Staff Expense'!AD$3,'Corp Employees'!$G:$G,"&gt;"&amp;'Staff Expense'!AD$3)/12*(1+Main!$C$75)^('Staff Expense'!AD$2-YEAR(Main!$H$2))</f>
        <v>113938.78125</v>
      </c>
      <c r="AE18" s="80">
        <f>SUMIFS('Corp Employees'!$I:$I,'Corp Employees'!$F:$F,"&lt;="&amp;'Staff Expense'!AE$3,'Corp Employees'!$G:$G,"&gt;"&amp;'Staff Expense'!AE$3)/12*(1+Main!$C$75)^('Staff Expense'!AE$2-YEAR(Main!$H$2))</f>
        <v>190941.74531249999</v>
      </c>
      <c r="AF18" s="80">
        <f>SUMIFS('Corp Employees'!$I:$I,'Corp Employees'!$F:$F,"&lt;="&amp;'Staff Expense'!AF$3,'Corp Employees'!$G:$G,"&gt;"&amp;'Staff Expense'!AF$3)/12*(1+Main!$C$75)^('Staff Expense'!AF$2-YEAR(Main!$H$2))</f>
        <v>190941.74531249999</v>
      </c>
      <c r="AG18" s="80">
        <f>SUMIFS('Corp Employees'!$I:$I,'Corp Employees'!$F:$F,"&lt;="&amp;'Staff Expense'!AG$3,'Corp Employees'!$G:$G,"&gt;"&amp;'Staff Expense'!AG$3)/12*(1+Main!$C$75)^('Staff Expense'!AG$2-YEAR(Main!$H$2))</f>
        <v>190941.74531249999</v>
      </c>
      <c r="AH18" s="80">
        <f>SUMIFS('Corp Employees'!$I:$I,'Corp Employees'!$F:$F,"&lt;="&amp;'Staff Expense'!AH$3,'Corp Employees'!$G:$G,"&gt;"&amp;'Staff Expense'!AH$3)/12*(1+Main!$C$75)^('Staff Expense'!AH$2-YEAR(Main!$H$2))</f>
        <v>190941.74531249999</v>
      </c>
      <c r="AI18" s="80">
        <f>SUMIFS('Corp Employees'!$I:$I,'Corp Employees'!$F:$F,"&lt;="&amp;'Staff Expense'!AI$3,'Corp Employees'!$G:$G,"&gt;"&amp;'Staff Expense'!AI$3)/12*(1+Main!$C$75)^('Staff Expense'!AI$2-YEAR(Main!$H$2))</f>
        <v>190941.74531249999</v>
      </c>
      <c r="AJ18" s="80">
        <f>SUMIFS('Corp Employees'!$I:$I,'Corp Employees'!$F:$F,"&lt;="&amp;'Staff Expense'!AJ$3,'Corp Employees'!$G:$G,"&gt;"&amp;'Staff Expense'!AJ$3)/12*(1+Main!$C$75)^('Staff Expense'!AJ$2-YEAR(Main!$H$2))</f>
        <v>190941.74531249999</v>
      </c>
      <c r="AK18" s="80">
        <f>SUMIFS('Corp Employees'!$I:$I,'Corp Employees'!$F:$F,"&lt;="&amp;'Staff Expense'!AK$3,'Corp Employees'!$G:$G,"&gt;"&amp;'Staff Expense'!AK$3)/12*(1+Main!$C$75)^('Staff Expense'!AK$2-YEAR(Main!$H$2))</f>
        <v>190941.74531249999</v>
      </c>
      <c r="AL18" s="80">
        <f>SUMIFS('Corp Employees'!$I:$I,'Corp Employees'!$F:$F,"&lt;="&amp;'Staff Expense'!AL$3,'Corp Employees'!$G:$G,"&gt;"&amp;'Staff Expense'!AL$3)/12*(1+Main!$C$75)^('Staff Expense'!AL$2-YEAR(Main!$H$2))</f>
        <v>190941.74531249999</v>
      </c>
      <c r="AM18" s="80">
        <f>SUMIFS('Corp Employees'!$I:$I,'Corp Employees'!$F:$F,"&lt;="&amp;'Staff Expense'!AM$3,'Corp Employees'!$G:$G,"&gt;"&amp;'Staff Expense'!AM$3)/12*(1+Main!$C$75)^('Staff Expense'!AM$2-YEAR(Main!$H$2))</f>
        <v>190941.74531249999</v>
      </c>
      <c r="AN18" s="80">
        <f>SUMIFS('Corp Employees'!$I:$I,'Corp Employees'!$F:$F,"&lt;="&amp;'Staff Expense'!AN$3,'Corp Employees'!$G:$G,"&gt;"&amp;'Staff Expense'!AN$3)/12*(1+Main!$C$75)^('Staff Expense'!AN$2-YEAR(Main!$H$2))</f>
        <v>190941.74531249999</v>
      </c>
      <c r="AO18" s="80">
        <f>SUMIFS('Corp Employees'!$I:$I,'Corp Employees'!$F:$F,"&lt;="&amp;'Staff Expense'!AO$3,'Corp Employees'!$G:$G,"&gt;"&amp;'Staff Expense'!AO$3)/12*(1+Main!$C$75)^('Staff Expense'!AO$2-YEAR(Main!$H$2))</f>
        <v>190941.74531249999</v>
      </c>
      <c r="AP18" s="80">
        <f>SUMIFS('Corp Employees'!$I:$I,'Corp Employees'!$F:$F,"&lt;="&amp;'Staff Expense'!AP$3,'Corp Employees'!$G:$G,"&gt;"&amp;'Staff Expense'!AP$3)/12*(1+Main!$C$75)^('Staff Expense'!AP$2-YEAR(Main!$H$2))</f>
        <v>190941.74531249999</v>
      </c>
      <c r="AQ18" s="80">
        <f>SUMIFS('Corp Employees'!$I:$I,'Corp Employees'!$F:$F,"&lt;="&amp;'Staff Expense'!AQ$3,'Corp Employees'!$G:$G,"&gt;"&amp;'Staff Expense'!AQ$3)/12*(1+Main!$C$75)^('Staff Expense'!AQ$2-YEAR(Main!$H$2))</f>
        <v>200488.832578125</v>
      </c>
      <c r="AR18" s="80">
        <f>SUMIFS('Corp Employees'!$I:$I,'Corp Employees'!$F:$F,"&lt;="&amp;'Staff Expense'!AR$3,'Corp Employees'!$G:$G,"&gt;"&amp;'Staff Expense'!AR$3)/12*(1+Main!$C$75)^('Staff Expense'!AR$2-YEAR(Main!$H$2))</f>
        <v>200488.832578125</v>
      </c>
      <c r="AS18" s="80">
        <f>SUMIFS('Corp Employees'!$I:$I,'Corp Employees'!$F:$F,"&lt;="&amp;'Staff Expense'!AS$3,'Corp Employees'!$G:$G,"&gt;"&amp;'Staff Expense'!AS$3)/12*(1+Main!$C$75)^('Staff Expense'!AS$2-YEAR(Main!$H$2))</f>
        <v>200488.832578125</v>
      </c>
      <c r="AT18" s="80">
        <f>SUMIFS('Corp Employees'!$I:$I,'Corp Employees'!$F:$F,"&lt;="&amp;'Staff Expense'!AT$3,'Corp Employees'!$G:$G,"&gt;"&amp;'Staff Expense'!AT$3)/12*(1+Main!$C$75)^('Staff Expense'!AT$2-YEAR(Main!$H$2))</f>
        <v>200488.832578125</v>
      </c>
      <c r="AU18" s="80">
        <f>SUMIFS('Corp Employees'!$I:$I,'Corp Employees'!$F:$F,"&lt;="&amp;'Staff Expense'!AU$3,'Corp Employees'!$G:$G,"&gt;"&amp;'Staff Expense'!AU$3)/12*(1+Main!$C$75)^('Staff Expense'!AU$2-YEAR(Main!$H$2))</f>
        <v>200488.832578125</v>
      </c>
      <c r="AV18" s="80">
        <f>SUMIFS('Corp Employees'!$I:$I,'Corp Employees'!$F:$F,"&lt;="&amp;'Staff Expense'!AV$3,'Corp Employees'!$G:$G,"&gt;"&amp;'Staff Expense'!AV$3)/12*(1+Main!$C$75)^('Staff Expense'!AV$2-YEAR(Main!$H$2))</f>
        <v>200488.832578125</v>
      </c>
      <c r="AW18" s="80">
        <f>SUMIFS('Corp Employees'!$I:$I,'Corp Employees'!$F:$F,"&lt;="&amp;'Staff Expense'!AW$3,'Corp Employees'!$G:$G,"&gt;"&amp;'Staff Expense'!AW$3)/12*(1+Main!$C$75)^('Staff Expense'!AW$2-YEAR(Main!$H$2))</f>
        <v>200488.832578125</v>
      </c>
      <c r="AX18" s="80">
        <f>SUMIFS('Corp Employees'!$I:$I,'Corp Employees'!$F:$F,"&lt;="&amp;'Staff Expense'!AX$3,'Corp Employees'!$G:$G,"&gt;"&amp;'Staff Expense'!AX$3)/12*(1+Main!$C$75)^('Staff Expense'!AX$2-YEAR(Main!$H$2))</f>
        <v>200488.832578125</v>
      </c>
      <c r="AY18" s="80">
        <f>SUMIFS('Corp Employees'!$I:$I,'Corp Employees'!$F:$F,"&lt;="&amp;'Staff Expense'!AY$3,'Corp Employees'!$G:$G,"&gt;"&amp;'Staff Expense'!AY$3)/12*(1+Main!$C$75)^('Staff Expense'!AY$2-YEAR(Main!$H$2))</f>
        <v>200488.832578125</v>
      </c>
      <c r="AZ18" s="80">
        <f>SUMIFS('Corp Employees'!$I:$I,'Corp Employees'!$F:$F,"&lt;="&amp;'Staff Expense'!AZ$3,'Corp Employees'!$G:$G,"&gt;"&amp;'Staff Expense'!AZ$3)/12*(1+Main!$C$75)^('Staff Expense'!AZ$2-YEAR(Main!$H$2))</f>
        <v>200488.832578125</v>
      </c>
      <c r="BA18" s="80">
        <f>SUMIFS('Corp Employees'!$I:$I,'Corp Employees'!$F:$F,"&lt;="&amp;'Staff Expense'!BA$3,'Corp Employees'!$G:$G,"&gt;"&amp;'Staff Expense'!BA$3)/12*(1+Main!$C$75)^('Staff Expense'!BA$2-YEAR(Main!$H$2))</f>
        <v>200488.832578125</v>
      </c>
      <c r="BB18" s="80">
        <f>SUMIFS('Corp Employees'!$I:$I,'Corp Employees'!$F:$F,"&lt;="&amp;'Staff Expense'!BB$3,'Corp Employees'!$G:$G,"&gt;"&amp;'Staff Expense'!BB$3)/12*(1+Main!$C$75)^('Staff Expense'!BB$2-YEAR(Main!$H$2))</f>
        <v>200488.832578125</v>
      </c>
      <c r="BC18" s="3"/>
      <c r="BD18" s="3"/>
      <c r="BE18" s="3"/>
      <c r="BF18" s="3"/>
      <c r="BG18" s="3"/>
      <c r="BH18" s="3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s="59" customFormat="1" x14ac:dyDescent="0.15">
      <c r="A19" s="255" t="s">
        <v>103</v>
      </c>
      <c r="C19" s="276">
        <f t="shared" ca="1" si="6"/>
        <v>661843.75</v>
      </c>
      <c r="D19" s="277">
        <f t="shared" ca="1" si="7"/>
        <v>2814822.9375</v>
      </c>
      <c r="E19" s="277">
        <f t="shared" ca="1" si="7"/>
        <v>4950011.390625</v>
      </c>
      <c r="F19" s="277">
        <f t="shared" ca="1" si="7"/>
        <v>6138595.9687499991</v>
      </c>
      <c r="G19" s="277">
        <f>SUM(G14:G18)</f>
        <v>44000.416666666672</v>
      </c>
      <c r="H19" s="277">
        <f t="shared" ref="H19:BB19" ca="1" si="8">SUM(H14:H18)</f>
        <v>44000.416666666672</v>
      </c>
      <c r="I19" s="277">
        <f t="shared" ca="1" si="8"/>
        <v>44000.416666666672</v>
      </c>
      <c r="J19" s="277">
        <f t="shared" ca="1" si="8"/>
        <v>44000.416666666672</v>
      </c>
      <c r="K19" s="277">
        <f t="shared" ca="1" si="8"/>
        <v>44000.416666666672</v>
      </c>
      <c r="L19" s="277">
        <f t="shared" ca="1" si="8"/>
        <v>44000.416666666672</v>
      </c>
      <c r="M19" s="277">
        <f t="shared" ca="1" si="8"/>
        <v>66306.875</v>
      </c>
      <c r="N19" s="277">
        <f t="shared" ca="1" si="8"/>
        <v>66306.875</v>
      </c>
      <c r="O19" s="277">
        <f t="shared" ca="1" si="8"/>
        <v>66306.875</v>
      </c>
      <c r="P19" s="277">
        <f t="shared" ca="1" si="8"/>
        <v>66306.875</v>
      </c>
      <c r="Q19" s="277">
        <f t="shared" ca="1" si="8"/>
        <v>66306.875</v>
      </c>
      <c r="R19" s="277">
        <f t="shared" ca="1" si="8"/>
        <v>66306.875</v>
      </c>
      <c r="S19" s="277">
        <f t="shared" ca="1" si="8"/>
        <v>205569.875</v>
      </c>
      <c r="T19" s="277">
        <f t="shared" ca="1" si="8"/>
        <v>205569.875</v>
      </c>
      <c r="U19" s="277">
        <f t="shared" ca="1" si="8"/>
        <v>205569.875</v>
      </c>
      <c r="V19" s="277">
        <f t="shared" ca="1" si="8"/>
        <v>218929.15625</v>
      </c>
      <c r="W19" s="277">
        <f t="shared" ca="1" si="8"/>
        <v>218929.15625</v>
      </c>
      <c r="X19" s="277">
        <f t="shared" ca="1" si="8"/>
        <v>218929.15625</v>
      </c>
      <c r="Y19" s="277">
        <f t="shared" ca="1" si="8"/>
        <v>247060.625</v>
      </c>
      <c r="Z19" s="277">
        <f t="shared" ca="1" si="8"/>
        <v>247060.625</v>
      </c>
      <c r="AA19" s="277">
        <f t="shared" ca="1" si="8"/>
        <v>247060.625</v>
      </c>
      <c r="AB19" s="277">
        <f t="shared" ca="1" si="8"/>
        <v>266714.65625</v>
      </c>
      <c r="AC19" s="277">
        <f t="shared" ca="1" si="8"/>
        <v>266714.65625</v>
      </c>
      <c r="AD19" s="277">
        <f t="shared" ca="1" si="8"/>
        <v>266714.65625</v>
      </c>
      <c r="AE19" s="277">
        <f t="shared" ca="1" si="8"/>
        <v>375949.28437499999</v>
      </c>
      <c r="AF19" s="277">
        <f t="shared" ca="1" si="8"/>
        <v>375949.28437499999</v>
      </c>
      <c r="AG19" s="277">
        <f t="shared" ca="1" si="8"/>
        <v>375949.28437499999</v>
      </c>
      <c r="AH19" s="277">
        <f t="shared" ca="1" si="8"/>
        <v>405487.32656249998</v>
      </c>
      <c r="AI19" s="277">
        <f t="shared" ca="1" si="8"/>
        <v>405487.32656249998</v>
      </c>
      <c r="AJ19" s="277">
        <f t="shared" ca="1" si="8"/>
        <v>405487.32656249998</v>
      </c>
      <c r="AK19" s="277">
        <f t="shared" ca="1" si="8"/>
        <v>419514.57187500002</v>
      </c>
      <c r="AL19" s="277">
        <f t="shared" ca="1" si="8"/>
        <v>419514.57187500002</v>
      </c>
      <c r="AM19" s="277">
        <f t="shared" ca="1" si="8"/>
        <v>419514.57187500002</v>
      </c>
      <c r="AN19" s="277">
        <f t="shared" ca="1" si="8"/>
        <v>449052.61406249995</v>
      </c>
      <c r="AO19" s="277">
        <f t="shared" ca="1" si="8"/>
        <v>449052.61406249995</v>
      </c>
      <c r="AP19" s="277">
        <f t="shared" ca="1" si="8"/>
        <v>449052.61406249995</v>
      </c>
      <c r="AQ19" s="277">
        <f t="shared" ca="1" si="8"/>
        <v>476887.47750000004</v>
      </c>
      <c r="AR19" s="277">
        <f t="shared" ca="1" si="8"/>
        <v>476887.47750000004</v>
      </c>
      <c r="AS19" s="277">
        <f t="shared" ca="1" si="8"/>
        <v>493173.81421875005</v>
      </c>
      <c r="AT19" s="277">
        <f t="shared" ca="1" si="8"/>
        <v>500113.77609375003</v>
      </c>
      <c r="AU19" s="277">
        <f t="shared" ca="1" si="8"/>
        <v>500113.77609375003</v>
      </c>
      <c r="AV19" s="277">
        <f t="shared" ca="1" si="8"/>
        <v>516400.11281250004</v>
      </c>
      <c r="AW19" s="277">
        <f t="shared" ca="1" si="8"/>
        <v>516400.11281250004</v>
      </c>
      <c r="AX19" s="277">
        <f t="shared" ca="1" si="8"/>
        <v>516400.11281250004</v>
      </c>
      <c r="AY19" s="277">
        <f t="shared" ca="1" si="8"/>
        <v>523340.07468750008</v>
      </c>
      <c r="AZ19" s="277">
        <f t="shared" ca="1" si="8"/>
        <v>539626.41140624997</v>
      </c>
      <c r="BA19" s="277">
        <f t="shared" ca="1" si="8"/>
        <v>539626.41140624997</v>
      </c>
      <c r="BB19" s="277">
        <f t="shared" ca="1" si="8"/>
        <v>539626.41140624997</v>
      </c>
      <c r="BC19" s="278"/>
      <c r="BD19" s="278"/>
      <c r="BE19" s="278"/>
      <c r="BF19" s="278"/>
      <c r="BG19" s="278"/>
      <c r="BH19" s="278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</row>
    <row r="20" spans="1:71" s="54" customFormat="1" x14ac:dyDescent="0.15">
      <c r="A20" s="54" t="s">
        <v>46</v>
      </c>
      <c r="C20" s="82"/>
      <c r="D20" s="77"/>
      <c r="E20" s="77"/>
      <c r="F20" s="77"/>
      <c r="G20" s="7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s="54" customFormat="1" x14ac:dyDescent="0.15">
      <c r="C21" s="82"/>
      <c r="D21" s="80"/>
      <c r="E21" s="80"/>
      <c r="F21" s="80"/>
      <c r="G21" s="80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s="54" customFormat="1" x14ac:dyDescent="0.15">
      <c r="C22" s="82"/>
      <c r="D22" s="80"/>
      <c r="E22" s="80"/>
      <c r="F22" s="80"/>
      <c r="G22" s="80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s="54" customFormat="1" x14ac:dyDescent="0.15">
      <c r="C23" s="82"/>
      <c r="D23" s="80"/>
      <c r="E23" s="80"/>
      <c r="F23" s="80"/>
      <c r="G23" s="80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x14ac:dyDescent="0.15">
      <c r="A24" s="54" t="s">
        <v>46</v>
      </c>
      <c r="C24" s="82"/>
      <c r="D24" s="80"/>
      <c r="E24" s="80"/>
      <c r="F24" s="80"/>
      <c r="G24" s="80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</row>
    <row r="25" spans="1:71" s="54" customFormat="1" x14ac:dyDescent="0.15">
      <c r="A25" s="54" t="s">
        <v>46</v>
      </c>
      <c r="C25" s="7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s="54" customFormat="1" x14ac:dyDescent="0.15">
      <c r="A26" s="54" t="s">
        <v>46</v>
      </c>
      <c r="C26" s="7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s="54" customFormat="1" x14ac:dyDescent="0.15">
      <c r="A27" s="54" t="s">
        <v>46</v>
      </c>
      <c r="C27" s="7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s="54" customFormat="1" x14ac:dyDescent="0.15">
      <c r="A28" s="54" t="s">
        <v>46</v>
      </c>
      <c r="C28" s="7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s="54" customFormat="1" x14ac:dyDescent="0.15">
      <c r="A29" s="54" t="s">
        <v>46</v>
      </c>
      <c r="C29" s="7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s="54" customFormat="1" x14ac:dyDescent="0.15">
      <c r="A30" s="54" t="s">
        <v>46</v>
      </c>
      <c r="C30" s="7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s="54" customFormat="1" x14ac:dyDescent="0.15">
      <c r="A31" s="54" t="s">
        <v>46</v>
      </c>
      <c r="C31" s="7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1:71" s="54" customFormat="1" x14ac:dyDescent="0.15">
      <c r="A32" s="54" t="s">
        <v>46</v>
      </c>
      <c r="C32" s="7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</row>
    <row r="33" spans="1:71" s="54" customFormat="1" x14ac:dyDescent="0.15">
      <c r="A33" s="54" t="s">
        <v>46</v>
      </c>
      <c r="C33" s="7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s="54" customFormat="1" x14ac:dyDescent="0.15">
      <c r="A34" s="54" t="s">
        <v>46</v>
      </c>
      <c r="C34" s="7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</row>
    <row r="35" spans="1:71" s="54" customFormat="1" x14ac:dyDescent="0.15">
      <c r="A35" s="54" t="s">
        <v>46</v>
      </c>
      <c r="C35" s="76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s="54" customFormat="1" x14ac:dyDescent="0.15">
      <c r="A36" s="54" t="s">
        <v>46</v>
      </c>
      <c r="C36" s="76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s="54" customFormat="1" x14ac:dyDescent="0.15">
      <c r="A37" s="54" t="s">
        <v>46</v>
      </c>
      <c r="C37" s="76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s="54" customFormat="1" x14ac:dyDescent="0.15">
      <c r="A38" s="54" t="s">
        <v>46</v>
      </c>
      <c r="C38" s="7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s="54" customFormat="1" x14ac:dyDescent="0.15">
      <c r="A39" s="54" t="s">
        <v>46</v>
      </c>
      <c r="C39" s="7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</row>
    <row r="40" spans="1:71" s="54" customFormat="1" x14ac:dyDescent="0.15">
      <c r="A40" s="54" t="s">
        <v>46</v>
      </c>
      <c r="C40" s="7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s="54" customFormat="1" x14ac:dyDescent="0.15">
      <c r="A41" s="54" t="s">
        <v>46</v>
      </c>
      <c r="C41" s="7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</row>
    <row r="42" spans="1:71" s="54" customFormat="1" x14ac:dyDescent="0.15">
      <c r="A42" s="54" t="s">
        <v>46</v>
      </c>
      <c r="C42" s="7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71" s="54" customFormat="1" x14ac:dyDescent="0.15">
      <c r="A43" s="54" t="s">
        <v>46</v>
      </c>
      <c r="C43" s="7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</row>
    <row r="44" spans="1:71" s="54" customFormat="1" x14ac:dyDescent="0.15">
      <c r="A44" s="54" t="s">
        <v>46</v>
      </c>
      <c r="C44" s="7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71" s="54" customFormat="1" x14ac:dyDescent="0.15">
      <c r="A45" s="54" t="s">
        <v>46</v>
      </c>
      <c r="C45" s="7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s="54" customFormat="1" x14ac:dyDescent="0.15">
      <c r="A46" s="54" t="s">
        <v>46</v>
      </c>
      <c r="C46" s="7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s="54" customFormat="1" x14ac:dyDescent="0.15">
      <c r="A47" s="54" t="s">
        <v>46</v>
      </c>
      <c r="C47" s="7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s="54" customFormat="1" x14ac:dyDescent="0.15">
      <c r="A48" s="54" t="s">
        <v>46</v>
      </c>
      <c r="C48" s="7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s="54" customFormat="1" x14ac:dyDescent="0.15">
      <c r="A49" s="54" t="s">
        <v>46</v>
      </c>
      <c r="C49" s="76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s="54" customFormat="1" x14ac:dyDescent="0.15">
      <c r="A50" s="54" t="s">
        <v>46</v>
      </c>
      <c r="C50" s="76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s="54" customFormat="1" x14ac:dyDescent="0.15">
      <c r="A51" s="54" t="s">
        <v>46</v>
      </c>
      <c r="C51" s="76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</row>
    <row r="52" spans="1:71" s="54" customFormat="1" x14ac:dyDescent="0.15">
      <c r="A52" s="54" t="s">
        <v>46</v>
      </c>
      <c r="C52" s="7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</row>
    <row r="53" spans="1:71" s="54" customFormat="1" x14ac:dyDescent="0.15">
      <c r="A53" s="54" t="s">
        <v>46</v>
      </c>
      <c r="C53" s="7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s="54" customFormat="1" x14ac:dyDescent="0.15">
      <c r="A54" s="54" t="s">
        <v>46</v>
      </c>
      <c r="C54" s="7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s="54" customFormat="1" x14ac:dyDescent="0.15">
      <c r="A55" s="54" t="s">
        <v>46</v>
      </c>
      <c r="C55" s="7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s="54" customFormat="1" x14ac:dyDescent="0.15">
      <c r="A56" s="54" t="s">
        <v>46</v>
      </c>
      <c r="C56" s="7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s="54" customFormat="1" x14ac:dyDescent="0.15">
      <c r="A57" s="54" t="s">
        <v>46</v>
      </c>
      <c r="C57" s="7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s="54" customFormat="1" x14ac:dyDescent="0.15">
      <c r="A58" s="54" t="s">
        <v>46</v>
      </c>
      <c r="C58" s="7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s="54" customFormat="1" x14ac:dyDescent="0.15">
      <c r="A59" s="54" t="s">
        <v>46</v>
      </c>
      <c r="C59" s="7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s="54" customFormat="1" x14ac:dyDescent="0.15">
      <c r="A60" s="54" t="s">
        <v>46</v>
      </c>
      <c r="C60" s="7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s="54" customFormat="1" x14ac:dyDescent="0.15">
      <c r="A61" s="54" t="s">
        <v>46</v>
      </c>
      <c r="C61" s="7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s="54" customFormat="1" x14ac:dyDescent="0.15">
      <c r="A62" s="54" t="s">
        <v>46</v>
      </c>
      <c r="C62" s="7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s="54" customFormat="1" x14ac:dyDescent="0.15">
      <c r="A63" s="54" t="s">
        <v>46</v>
      </c>
      <c r="C63" s="76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s="54" customFormat="1" x14ac:dyDescent="0.15">
      <c r="A64" s="54" t="s">
        <v>46</v>
      </c>
      <c r="C64" s="76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1" s="54" customFormat="1" x14ac:dyDescent="0.15">
      <c r="A65" s="54" t="s">
        <v>46</v>
      </c>
      <c r="C65" s="7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1" s="54" customFormat="1" x14ac:dyDescent="0.15">
      <c r="A66" s="54" t="s">
        <v>46</v>
      </c>
      <c r="C66" s="76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1" s="54" customFormat="1" x14ac:dyDescent="0.15">
      <c r="A67" s="54" t="s">
        <v>46</v>
      </c>
      <c r="C67" s="76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1" s="54" customFormat="1" x14ac:dyDescent="0.15">
      <c r="A68" s="54" t="s">
        <v>46</v>
      </c>
      <c r="C68" s="76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1" s="54" customFormat="1" x14ac:dyDescent="0.15">
      <c r="A69" s="54" t="s">
        <v>46</v>
      </c>
      <c r="C69" s="76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1" s="54" customFormat="1" x14ac:dyDescent="0.15">
      <c r="A70" s="54" t="s">
        <v>46</v>
      </c>
      <c r="C70" s="76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1" s="54" customFormat="1" x14ac:dyDescent="0.15">
      <c r="A71" s="54" t="s">
        <v>46</v>
      </c>
      <c r="C71" s="76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</row>
    <row r="72" spans="1:71" s="54" customFormat="1" x14ac:dyDescent="0.15">
      <c r="A72" s="54" t="s">
        <v>46</v>
      </c>
      <c r="C72" s="76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</row>
    <row r="73" spans="1:71" s="54" customFormat="1" x14ac:dyDescent="0.15">
      <c r="A73" s="54" t="s">
        <v>46</v>
      </c>
      <c r="C73" s="76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</row>
    <row r="74" spans="1:71" s="54" customFormat="1" x14ac:dyDescent="0.15">
      <c r="A74" s="54" t="s">
        <v>46</v>
      </c>
      <c r="C74" s="76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</row>
    <row r="75" spans="1:71" s="54" customFormat="1" x14ac:dyDescent="0.15">
      <c r="A75" s="54" t="s">
        <v>46</v>
      </c>
      <c r="C75" s="76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</row>
    <row r="76" spans="1:71" s="54" customFormat="1" x14ac:dyDescent="0.15">
      <c r="A76" s="54" t="s">
        <v>46</v>
      </c>
      <c r="C76" s="76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</row>
    <row r="77" spans="1:71" s="54" customFormat="1" x14ac:dyDescent="0.15">
      <c r="A77" s="54" t="s">
        <v>46</v>
      </c>
      <c r="C77" s="76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</row>
  </sheetData>
  <pageMargins left="0.7" right="0.7" top="0.75" bottom="0.75" header="0.3" footer="0.3"/>
  <pageSetup scale="75" fitToWidth="0" fitToHeight="0"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rgb="FFFFFF00"/>
  </sheetPr>
  <dimension ref="A1:I393"/>
  <sheetViews>
    <sheetView workbookViewId="0">
      <pane xSplit="1" ySplit="1" topLeftCell="B2" activePane="bottomRight" state="frozen"/>
      <selection activeCell="G40" sqref="G40"/>
      <selection pane="topRight" activeCell="G40" sqref="G40"/>
      <selection pane="bottomLeft" activeCell="G40" sqref="G40"/>
      <selection pane="bottomRight"/>
    </sheetView>
  </sheetViews>
  <sheetFormatPr baseColWidth="10" defaultColWidth="9.1640625" defaultRowHeight="12.75" customHeight="1" x14ac:dyDescent="0.15"/>
  <cols>
    <col min="1" max="1" width="33.83203125" style="102" customWidth="1"/>
    <col min="2" max="2" width="13.5" style="98" customWidth="1"/>
    <col min="3" max="3" width="37.5" style="98" customWidth="1"/>
    <col min="4" max="4" width="13" style="98" customWidth="1"/>
    <col min="5" max="5" width="10.6640625" style="98" customWidth="1"/>
    <col min="6" max="6" width="16.83203125" style="98" customWidth="1"/>
    <col min="7" max="7" width="14.5" style="98" customWidth="1"/>
    <col min="8" max="8" width="19.33203125" style="101" customWidth="1"/>
    <col min="9" max="9" width="18" customWidth="1"/>
  </cols>
  <sheetData>
    <row r="1" spans="1:9" ht="18.75" customHeight="1" x14ac:dyDescent="0.15">
      <c r="A1" s="17" t="s">
        <v>34</v>
      </c>
      <c r="B1" s="18" t="s">
        <v>20</v>
      </c>
      <c r="C1" s="19" t="s">
        <v>35</v>
      </c>
      <c r="D1" s="18" t="s">
        <v>8</v>
      </c>
      <c r="E1" s="19" t="s">
        <v>7</v>
      </c>
      <c r="F1" s="19" t="s">
        <v>9</v>
      </c>
      <c r="G1" s="19" t="s">
        <v>10</v>
      </c>
      <c r="H1" s="20" t="s">
        <v>88</v>
      </c>
      <c r="I1" s="20" t="s">
        <v>211</v>
      </c>
    </row>
    <row r="2" spans="1:9" ht="12.75" customHeight="1" x14ac:dyDescent="0.15">
      <c r="A2" s="97"/>
      <c r="B2" s="98" t="s">
        <v>93</v>
      </c>
      <c r="C2" s="98" t="s">
        <v>39</v>
      </c>
      <c r="D2" s="98" t="s">
        <v>36</v>
      </c>
      <c r="E2" s="99" t="s">
        <v>37</v>
      </c>
      <c r="F2" s="100">
        <v>43466</v>
      </c>
      <c r="G2" s="100">
        <v>47484</v>
      </c>
      <c r="H2" s="101">
        <v>200000</v>
      </c>
      <c r="I2" s="112">
        <f>IF(H2&gt;0,H2*(1+Main!$C$81)+Main!$C$78+Main!$C$79+Main!$C$80,0)</f>
        <v>222650</v>
      </c>
    </row>
    <row r="3" spans="1:9" ht="12.75" customHeight="1" x14ac:dyDescent="0.15">
      <c r="B3" s="98" t="s">
        <v>93</v>
      </c>
      <c r="C3" s="98" t="s">
        <v>89</v>
      </c>
      <c r="D3" s="98" t="s">
        <v>36</v>
      </c>
      <c r="E3" s="99" t="s">
        <v>37</v>
      </c>
      <c r="F3" s="100">
        <v>44197</v>
      </c>
      <c r="G3" s="100">
        <v>47484</v>
      </c>
      <c r="H3" s="101">
        <v>175000</v>
      </c>
      <c r="I3" s="112">
        <f>IF(H3&gt;0,H3*(1+Main!$C$81)+Main!$C$78+Main!$C$79+Main!$C$80,0)</f>
        <v>195737.5</v>
      </c>
    </row>
    <row r="4" spans="1:9" ht="12.75" customHeight="1" x14ac:dyDescent="0.15">
      <c r="B4" s="98" t="s">
        <v>93</v>
      </c>
      <c r="C4" s="98" t="s">
        <v>90</v>
      </c>
      <c r="D4" s="98" t="s">
        <v>36</v>
      </c>
      <c r="E4" s="99" t="s">
        <v>37</v>
      </c>
      <c r="F4" s="100">
        <v>43831</v>
      </c>
      <c r="G4" s="100">
        <v>47484</v>
      </c>
      <c r="H4" s="101">
        <v>175000</v>
      </c>
      <c r="I4" s="112">
        <f>IF(H4&gt;0,H4*(1+Main!$C$81)+Main!$C$78+Main!$C$79+Main!$C$80,0)</f>
        <v>195737.5</v>
      </c>
    </row>
    <row r="5" spans="1:9" ht="12.75" customHeight="1" x14ac:dyDescent="0.15">
      <c r="A5" s="103" t="s">
        <v>44</v>
      </c>
      <c r="B5" s="98" t="s">
        <v>93</v>
      </c>
      <c r="C5" s="104" t="s">
        <v>100</v>
      </c>
      <c r="D5" s="98" t="s">
        <v>36</v>
      </c>
      <c r="E5" s="99" t="s">
        <v>37</v>
      </c>
      <c r="F5" s="100">
        <v>43831</v>
      </c>
      <c r="G5" s="100">
        <v>47484</v>
      </c>
      <c r="H5" s="101">
        <v>200000</v>
      </c>
      <c r="I5" s="112">
        <f>IF(H5&gt;0,H5*(1+Main!$C$81)+Main!$C$78+Main!$C$79+Main!$C$80,0)</f>
        <v>222650</v>
      </c>
    </row>
    <row r="6" spans="1:9" ht="12.75" customHeight="1" x14ac:dyDescent="0.15">
      <c r="A6" s="105"/>
      <c r="C6" s="104"/>
      <c r="E6" s="99"/>
      <c r="F6" s="100"/>
      <c r="G6" s="100"/>
      <c r="I6" s="112">
        <f>IF(H6&gt;0,H6*(1+Main!$C$81)+Main!$C$78+Main!$C$79+Main!$C$80,0)</f>
        <v>0</v>
      </c>
    </row>
    <row r="7" spans="1:9" ht="12.75" customHeight="1" x14ac:dyDescent="0.15">
      <c r="A7" s="106"/>
      <c r="B7" s="98" t="s">
        <v>95</v>
      </c>
      <c r="C7" s="104" t="s">
        <v>91</v>
      </c>
      <c r="D7" s="98" t="s">
        <v>36</v>
      </c>
      <c r="E7" s="99" t="s">
        <v>37</v>
      </c>
      <c r="F7" s="100">
        <v>43831</v>
      </c>
      <c r="G7" s="100">
        <v>47484</v>
      </c>
      <c r="H7" s="101">
        <v>150000</v>
      </c>
      <c r="I7" s="112">
        <f>IF(H7&gt;0,H7*(1+Main!$C$81)+Main!$C$78+Main!$C$79+Main!$C$80,0)</f>
        <v>168825</v>
      </c>
    </row>
    <row r="8" spans="1:9" ht="12.75" customHeight="1" x14ac:dyDescent="0.15">
      <c r="A8" s="107" t="s">
        <v>44</v>
      </c>
      <c r="B8" s="98" t="s">
        <v>95</v>
      </c>
      <c r="C8" s="104" t="s">
        <v>92</v>
      </c>
      <c r="D8" s="98" t="s">
        <v>36</v>
      </c>
      <c r="E8" s="99" t="s">
        <v>37</v>
      </c>
      <c r="F8" s="100">
        <v>44197</v>
      </c>
      <c r="G8" s="100">
        <v>47484</v>
      </c>
      <c r="H8" s="101">
        <v>125000</v>
      </c>
      <c r="I8" s="112">
        <f>IF(H8&gt;0,H8*(1+Main!$C$81)+Main!$C$78+Main!$C$79+Main!$C$80,0)</f>
        <v>141912.5</v>
      </c>
    </row>
    <row r="9" spans="1:9" ht="12.75" customHeight="1" x14ac:dyDescent="0.15">
      <c r="A9" s="106"/>
      <c r="C9" s="104"/>
      <c r="E9" s="99"/>
      <c r="F9" s="100"/>
      <c r="G9" s="100"/>
      <c r="I9" s="112">
        <f>IF(H9&gt;0,H9*(1+Main!$C$81)+Main!$C$78+Main!$C$79+Main!$C$80,0)</f>
        <v>0</v>
      </c>
    </row>
    <row r="10" spans="1:9" ht="12.75" customHeight="1" x14ac:dyDescent="0.15">
      <c r="A10" s="97"/>
      <c r="B10" s="98" t="s">
        <v>40</v>
      </c>
      <c r="C10" s="98" t="s">
        <v>43</v>
      </c>
      <c r="D10" s="98" t="s">
        <v>36</v>
      </c>
      <c r="E10" s="99" t="s">
        <v>37</v>
      </c>
      <c r="F10" s="100">
        <v>43831</v>
      </c>
      <c r="G10" s="100">
        <v>47484</v>
      </c>
      <c r="H10" s="101">
        <v>175000</v>
      </c>
      <c r="I10" s="112">
        <f>IF(H10&gt;0,H10*(1+Main!$C$81)+Main!$C$78+Main!$C$79+Main!$C$80,0)</f>
        <v>195737.5</v>
      </c>
    </row>
    <row r="11" spans="1:9" ht="12.75" customHeight="1" x14ac:dyDescent="0.15">
      <c r="A11" s="106"/>
      <c r="B11" s="98" t="s">
        <v>40</v>
      </c>
      <c r="C11" s="104" t="s">
        <v>94</v>
      </c>
      <c r="D11" s="98" t="s">
        <v>36</v>
      </c>
      <c r="E11" s="99" t="s">
        <v>37</v>
      </c>
      <c r="F11" s="100">
        <v>43831</v>
      </c>
      <c r="G11" s="100">
        <v>47484</v>
      </c>
      <c r="H11" s="101">
        <v>125000</v>
      </c>
      <c r="I11" s="112">
        <f>IF(H11&gt;0,H11*(1+Main!$C$81)+Main!$C$78+Main!$C$79+Main!$C$80,0)</f>
        <v>141912.5</v>
      </c>
    </row>
    <row r="12" spans="1:9" ht="12.75" customHeight="1" x14ac:dyDescent="0.15">
      <c r="A12" s="106"/>
      <c r="B12" s="98" t="s">
        <v>40</v>
      </c>
      <c r="C12" s="104" t="s">
        <v>96</v>
      </c>
      <c r="D12" s="98" t="s">
        <v>36</v>
      </c>
      <c r="E12" s="99" t="s">
        <v>37</v>
      </c>
      <c r="F12" s="100">
        <v>44197</v>
      </c>
      <c r="G12" s="100">
        <v>47484</v>
      </c>
      <c r="H12" s="101">
        <v>100000</v>
      </c>
      <c r="I12" s="112">
        <f>IF(H12&gt;0,H12*(1+Main!$C$81)+Main!$C$78+Main!$C$79+Main!$C$80,0)</f>
        <v>115000</v>
      </c>
    </row>
    <row r="13" spans="1:9" ht="12.75" customHeight="1" x14ac:dyDescent="0.15">
      <c r="A13" s="106"/>
      <c r="B13" s="98" t="s">
        <v>40</v>
      </c>
      <c r="C13" s="104" t="s">
        <v>97</v>
      </c>
      <c r="D13" s="98" t="s">
        <v>36</v>
      </c>
      <c r="E13" s="99" t="s">
        <v>37</v>
      </c>
      <c r="F13" s="100">
        <v>44197</v>
      </c>
      <c r="G13" s="100">
        <v>47484</v>
      </c>
      <c r="H13" s="101">
        <v>75000</v>
      </c>
      <c r="I13" s="112">
        <f>IF(H13&gt;0,H13*(1+Main!$C$81)+Main!$C$78+Main!$C$79+Main!$C$80,0)</f>
        <v>88087.5</v>
      </c>
    </row>
    <row r="14" spans="1:9" ht="12.75" customHeight="1" x14ac:dyDescent="0.15">
      <c r="A14" s="106"/>
      <c r="B14" s="108"/>
      <c r="C14" s="104"/>
      <c r="D14" s="109"/>
      <c r="E14" s="109"/>
      <c r="F14" s="109"/>
      <c r="G14" s="109"/>
      <c r="H14" s="110"/>
      <c r="I14" s="112">
        <f>IF(H14&gt;0,H14*(1+Main!$C$81)+Main!$C$78+Main!$C$79+Main!$C$80,0)</f>
        <v>0</v>
      </c>
    </row>
    <row r="15" spans="1:9" ht="12.75" customHeight="1" x14ac:dyDescent="0.15">
      <c r="B15" s="98" t="s">
        <v>38</v>
      </c>
      <c r="C15" s="98" t="s">
        <v>41</v>
      </c>
      <c r="D15" s="98" t="s">
        <v>36</v>
      </c>
      <c r="E15" s="99" t="s">
        <v>37</v>
      </c>
      <c r="F15" s="100">
        <v>43831</v>
      </c>
      <c r="G15" s="100">
        <v>47484</v>
      </c>
      <c r="H15" s="101">
        <v>50000</v>
      </c>
      <c r="I15" s="112">
        <f>IF(H15&gt;0,H15*(1+Main!$C$81)+Main!$C$78+Main!$C$79+Main!$C$80,0)</f>
        <v>61175</v>
      </c>
    </row>
    <row r="16" spans="1:9" ht="12.75" customHeight="1" x14ac:dyDescent="0.15">
      <c r="B16" s="98" t="s">
        <v>38</v>
      </c>
      <c r="C16" s="98" t="s">
        <v>98</v>
      </c>
      <c r="D16" s="98" t="s">
        <v>36</v>
      </c>
      <c r="E16" s="99" t="s">
        <v>37</v>
      </c>
      <c r="F16" s="100">
        <v>43831</v>
      </c>
      <c r="G16" s="100">
        <v>47484</v>
      </c>
      <c r="H16" s="101">
        <v>80000</v>
      </c>
      <c r="I16" s="112">
        <f>IF(H16&gt;0,H16*(1+Main!$C$81)+Main!$C$78+Main!$C$79+Main!$C$80,0)</f>
        <v>93470</v>
      </c>
    </row>
    <row r="17" spans="1:9" ht="12.75" customHeight="1" x14ac:dyDescent="0.15">
      <c r="A17" s="106"/>
      <c r="B17" s="98" t="s">
        <v>38</v>
      </c>
      <c r="C17" s="98" t="s">
        <v>99</v>
      </c>
      <c r="D17" s="98" t="s">
        <v>36</v>
      </c>
      <c r="E17" s="99" t="s">
        <v>37</v>
      </c>
      <c r="F17" s="100">
        <v>44197</v>
      </c>
      <c r="G17" s="100">
        <v>47484</v>
      </c>
      <c r="H17" s="101">
        <v>125000</v>
      </c>
      <c r="I17" s="112">
        <f>IF(H17&gt;0,H17*(1+Main!$C$81)+Main!$C$78+Main!$C$79+Main!$C$80,0)</f>
        <v>141912.5</v>
      </c>
    </row>
    <row r="18" spans="1:9" ht="12.75" customHeight="1" x14ac:dyDescent="0.15">
      <c r="A18" s="111" t="s">
        <v>44</v>
      </c>
      <c r="B18" s="98" t="s">
        <v>38</v>
      </c>
      <c r="C18" s="98" t="s">
        <v>108</v>
      </c>
      <c r="D18" s="98" t="s">
        <v>36</v>
      </c>
      <c r="E18" s="99" t="s">
        <v>37</v>
      </c>
      <c r="F18" s="100">
        <v>44197</v>
      </c>
      <c r="G18" s="100">
        <v>47484</v>
      </c>
      <c r="H18" s="101">
        <v>80000</v>
      </c>
      <c r="I18" s="112">
        <f>IF(H18&gt;0,H18*(1+Main!$C$81)+Main!$C$78+Main!$C$79+Main!$C$80,0)</f>
        <v>93470</v>
      </c>
    </row>
    <row r="19" spans="1:9" ht="12.75" customHeight="1" x14ac:dyDescent="0.15">
      <c r="A19" s="106"/>
      <c r="B19" s="108"/>
      <c r="C19" s="109"/>
      <c r="D19" s="109"/>
      <c r="E19" s="109"/>
      <c r="F19" s="109"/>
      <c r="G19" s="109"/>
      <c r="H19" s="110"/>
      <c r="I19" s="112">
        <f>IF(H19&gt;0,H19*(1+Main!$C$81)+Main!$C$78+Main!$C$79+Main!$C$80,0)</f>
        <v>0</v>
      </c>
    </row>
    <row r="20" spans="1:9" ht="12.75" customHeight="1" x14ac:dyDescent="0.15">
      <c r="A20" s="106"/>
      <c r="B20" s="108"/>
      <c r="C20" s="109"/>
      <c r="D20" s="109"/>
      <c r="E20" s="109"/>
      <c r="F20" s="109"/>
      <c r="G20" s="109"/>
      <c r="H20" s="110"/>
      <c r="I20" s="112">
        <f>IF(H20&gt;0,H20*(1+Main!$C$81)+Main!$C$78+Main!$C$79+Main!$C$80,0)</f>
        <v>0</v>
      </c>
    </row>
    <row r="21" spans="1:9" ht="12.75" customHeight="1" x14ac:dyDescent="0.15">
      <c r="A21" s="106"/>
      <c r="B21" s="108"/>
      <c r="C21" s="109"/>
      <c r="D21" s="109"/>
      <c r="E21" s="109"/>
      <c r="F21" s="109"/>
      <c r="G21" s="109"/>
      <c r="H21" s="110"/>
      <c r="I21" s="112">
        <f>IF(H21&gt;0,H21*(1+Main!$C$81)+Main!$C$78+Main!$C$79+Main!$C$80,0)</f>
        <v>0</v>
      </c>
    </row>
    <row r="22" spans="1:9" ht="12.75" customHeight="1" x14ac:dyDescent="0.15">
      <c r="A22" s="106"/>
      <c r="B22" s="108"/>
      <c r="C22" s="109"/>
      <c r="D22" s="109"/>
      <c r="E22" s="109"/>
      <c r="F22" s="109"/>
      <c r="G22" s="109"/>
      <c r="H22" s="110"/>
      <c r="I22" s="112">
        <f>IF(H22&gt;0,H22*(1+Main!$C$81)+Main!$C$78+Main!$C$79+Main!$C$80,0)</f>
        <v>0</v>
      </c>
    </row>
    <row r="23" spans="1:9" ht="12.75" customHeight="1" x14ac:dyDescent="0.15">
      <c r="A23" s="106"/>
      <c r="B23" s="108"/>
      <c r="C23" s="109"/>
      <c r="D23" s="109"/>
      <c r="E23" s="109"/>
      <c r="F23" s="109"/>
      <c r="G23" s="109"/>
      <c r="H23" s="110"/>
      <c r="I23" s="112">
        <f>IF(H23&gt;0,H23*(1+Main!$C$81)+Main!$C$78+Main!$C$79+Main!$C$80,0)</f>
        <v>0</v>
      </c>
    </row>
    <row r="24" spans="1:9" ht="12.75" customHeight="1" x14ac:dyDescent="0.15">
      <c r="A24" s="106"/>
      <c r="B24" s="108"/>
      <c r="C24" s="109"/>
      <c r="D24" s="109"/>
      <c r="E24" s="109"/>
      <c r="F24" s="109"/>
      <c r="G24" s="109"/>
      <c r="H24" s="110"/>
      <c r="I24" s="112">
        <f>IF(H24&gt;0,H24*(1+Main!$C$81)+Main!$C$78+Main!$C$79+Main!$C$80,0)</f>
        <v>0</v>
      </c>
    </row>
    <row r="25" spans="1:9" ht="12.75" customHeight="1" x14ac:dyDescent="0.15">
      <c r="A25" s="106"/>
      <c r="B25" s="108"/>
      <c r="C25" s="109"/>
      <c r="D25" s="109"/>
      <c r="E25" s="109"/>
      <c r="F25" s="109"/>
      <c r="G25" s="109"/>
      <c r="H25" s="110"/>
      <c r="I25" s="112">
        <f>IF(H25&gt;0,H25*(1+Main!$C$81)+Main!$C$78+Main!$C$79+Main!$C$80,0)</f>
        <v>0</v>
      </c>
    </row>
    <row r="26" spans="1:9" ht="12.75" customHeight="1" x14ac:dyDescent="0.15">
      <c r="A26" s="106"/>
      <c r="B26" s="108"/>
      <c r="C26" s="109"/>
      <c r="D26" s="109"/>
      <c r="E26" s="109"/>
      <c r="F26" s="109"/>
      <c r="G26" s="109"/>
      <c r="H26" s="110"/>
      <c r="I26" s="112">
        <f>IF(H26&gt;0,H26*(1+Main!$C$81)+Main!$C$78+Main!$C$79+Main!$C$80,0)</f>
        <v>0</v>
      </c>
    </row>
    <row r="27" spans="1:9" ht="12.75" customHeight="1" x14ac:dyDescent="0.15">
      <c r="A27" s="111" t="s">
        <v>44</v>
      </c>
      <c r="B27" s="108"/>
      <c r="C27" s="109"/>
      <c r="D27" s="109"/>
      <c r="E27" s="109"/>
      <c r="F27" s="109"/>
      <c r="G27" s="109"/>
      <c r="H27" s="110"/>
      <c r="I27" s="112">
        <f>IF(H27&gt;0,H27*(1+Main!$C$81)+Main!$C$78+Main!$C$79+Main!$C$80,0)</f>
        <v>0</v>
      </c>
    </row>
    <row r="28" spans="1:9" ht="12.75" customHeight="1" x14ac:dyDescent="0.15">
      <c r="A28" s="106"/>
      <c r="B28" s="108"/>
      <c r="C28" s="109"/>
      <c r="D28" s="109"/>
      <c r="E28" s="109"/>
      <c r="F28" s="109"/>
      <c r="G28" s="109"/>
      <c r="H28" s="110"/>
      <c r="I28" s="112">
        <f>IF(H28&gt;0,H28*(1+Main!$C$81)+Main!$C$78+Main!$C$79+Main!$C$80,0)</f>
        <v>0</v>
      </c>
    </row>
    <row r="29" spans="1:9" ht="12.75" customHeight="1" x14ac:dyDescent="0.15">
      <c r="A29" s="106"/>
      <c r="B29" s="108"/>
      <c r="C29" s="109"/>
      <c r="D29" s="109"/>
      <c r="E29" s="109"/>
      <c r="F29" s="109"/>
      <c r="G29" s="109"/>
      <c r="H29" s="110"/>
      <c r="I29" s="112">
        <f>IF(H29&gt;0,H29*(1+Main!$C$81)+Main!$C$78+Main!$C$79+Main!$C$80,0)</f>
        <v>0</v>
      </c>
    </row>
    <row r="30" spans="1:9" ht="12.75" customHeight="1" x14ac:dyDescent="0.15">
      <c r="A30" s="106"/>
      <c r="B30" s="108"/>
      <c r="C30" s="109"/>
      <c r="D30" s="109"/>
      <c r="E30" s="109"/>
      <c r="F30" s="109"/>
      <c r="G30" s="109"/>
      <c r="H30" s="110"/>
      <c r="I30" s="112">
        <f>IF(H30&gt;0,H30*(1+Main!$C$81)+Main!$C$78+Main!$C$79+Main!$C$80,0)</f>
        <v>0</v>
      </c>
    </row>
    <row r="31" spans="1:9" ht="12.75" customHeight="1" x14ac:dyDescent="0.15">
      <c r="A31" s="106"/>
      <c r="B31" s="108"/>
      <c r="C31" s="109"/>
      <c r="D31" s="109"/>
      <c r="E31" s="109"/>
      <c r="F31" s="109"/>
      <c r="G31" s="109"/>
      <c r="H31" s="110"/>
      <c r="I31" s="112">
        <f>IF(H31&gt;0,H31*(1+Main!$C$81)+Main!$C$78+Main!$C$79+Main!$C$80,0)</f>
        <v>0</v>
      </c>
    </row>
    <row r="32" spans="1:9" ht="12.75" customHeight="1" x14ac:dyDescent="0.15">
      <c r="A32" s="106"/>
      <c r="B32" s="108"/>
      <c r="C32" s="109"/>
      <c r="D32" s="109"/>
      <c r="E32" s="109"/>
      <c r="F32" s="109"/>
      <c r="G32" s="109"/>
      <c r="H32" s="110"/>
      <c r="I32" s="112">
        <f>IF(H32&gt;0,H32*(1+Main!$C$81)+Main!$C$78+Main!$C$79+Main!$C$80,0)</f>
        <v>0</v>
      </c>
    </row>
    <row r="33" spans="1:9" ht="12.75" customHeight="1" x14ac:dyDescent="0.15">
      <c r="A33" s="106"/>
      <c r="B33" s="108"/>
      <c r="C33" s="109"/>
      <c r="D33" s="109"/>
      <c r="E33" s="109"/>
      <c r="F33" s="109"/>
      <c r="G33" s="109"/>
      <c r="H33" s="110"/>
      <c r="I33" s="112">
        <f>IF(H33&gt;0,H33*(1+Main!$C$81)+Main!$C$78+Main!$C$79+Main!$C$80,0)</f>
        <v>0</v>
      </c>
    </row>
    <row r="34" spans="1:9" ht="12.75" customHeight="1" x14ac:dyDescent="0.15">
      <c r="A34" s="106"/>
      <c r="B34" s="108"/>
      <c r="C34" s="109"/>
      <c r="D34" s="109"/>
      <c r="E34" s="109"/>
      <c r="F34" s="109"/>
      <c r="G34" s="109"/>
      <c r="H34" s="110"/>
      <c r="I34" s="112">
        <f>IF(H34&gt;0,H34*(1+Main!$C$81)+Main!$C$78+Main!$C$79+Main!$C$80,0)</f>
        <v>0</v>
      </c>
    </row>
    <row r="35" spans="1:9" ht="12.75" customHeight="1" x14ac:dyDescent="0.15">
      <c r="A35" s="106"/>
      <c r="B35" s="108"/>
      <c r="C35" s="109"/>
      <c r="D35" s="109"/>
      <c r="E35" s="109"/>
      <c r="F35" s="109"/>
      <c r="G35" s="109"/>
      <c r="H35" s="110"/>
      <c r="I35" s="112">
        <f>IF(H35&gt;0,H35*(1+Main!$C$81)+Main!$C$78+Main!$C$79+Main!$C$80,0)</f>
        <v>0</v>
      </c>
    </row>
    <row r="36" spans="1:9" ht="12.75" customHeight="1" x14ac:dyDescent="0.15">
      <c r="A36" s="106"/>
      <c r="B36" s="108"/>
      <c r="C36" s="109"/>
      <c r="D36" s="109"/>
      <c r="E36" s="109"/>
      <c r="F36" s="109"/>
      <c r="G36" s="109"/>
      <c r="H36" s="110"/>
      <c r="I36" s="112">
        <f>IF(H36&gt;0,H36*(1+Main!$C$81)+Main!$C$78+Main!$C$79+Main!$C$80,0)</f>
        <v>0</v>
      </c>
    </row>
    <row r="37" spans="1:9" ht="12.75" customHeight="1" x14ac:dyDescent="0.15">
      <c r="A37" s="106"/>
      <c r="B37" s="108"/>
      <c r="C37" s="109"/>
      <c r="D37" s="109"/>
      <c r="E37" s="109"/>
      <c r="F37" s="109"/>
      <c r="G37" s="109"/>
      <c r="H37" s="110"/>
      <c r="I37" s="112">
        <f>IF(H37&gt;0,H37*(1+Main!$C$81)+Main!$C$78+Main!$C$79+Main!$C$80,0)</f>
        <v>0</v>
      </c>
    </row>
    <row r="38" spans="1:9" ht="12.75" customHeight="1" x14ac:dyDescent="0.15">
      <c r="A38" s="106"/>
      <c r="B38" s="108"/>
      <c r="C38" s="109"/>
      <c r="D38" s="109"/>
      <c r="E38" s="109"/>
      <c r="F38" s="109"/>
      <c r="G38" s="109"/>
      <c r="H38" s="110"/>
      <c r="I38" s="112">
        <f>IF(H38&gt;0,H38*(1+Main!$C$81)+Main!$C$78+Main!$C$79+Main!$C$80,0)</f>
        <v>0</v>
      </c>
    </row>
    <row r="39" spans="1:9" ht="12.75" customHeight="1" x14ac:dyDescent="0.15">
      <c r="A39" s="106"/>
      <c r="B39" s="108"/>
      <c r="C39" s="109"/>
      <c r="D39" s="109"/>
      <c r="E39" s="109"/>
      <c r="F39" s="109"/>
      <c r="G39" s="109"/>
      <c r="H39" s="110"/>
      <c r="I39" s="112">
        <f>IF(H39&gt;0,H39*(1+Main!$C$81)+Main!$C$78+Main!$C$79+Main!$C$80,0)</f>
        <v>0</v>
      </c>
    </row>
    <row r="40" spans="1:9" ht="12.75" customHeight="1" x14ac:dyDescent="0.15">
      <c r="A40" s="106"/>
      <c r="B40" s="108"/>
      <c r="C40" s="109"/>
      <c r="D40" s="109"/>
      <c r="E40" s="109"/>
      <c r="F40" s="109"/>
      <c r="G40" s="109"/>
      <c r="H40" s="110"/>
      <c r="I40" s="112">
        <f>IF(H40&gt;0,H40*(1+Main!$C$81)+Main!$C$78+Main!$C$79+Main!$C$80,0)</f>
        <v>0</v>
      </c>
    </row>
    <row r="41" spans="1:9" ht="12.75" customHeight="1" x14ac:dyDescent="0.15">
      <c r="A41" s="106"/>
      <c r="B41" s="108"/>
      <c r="C41" s="108"/>
      <c r="F41" s="100"/>
      <c r="G41" s="100"/>
      <c r="I41" s="112">
        <f>IF(H41&gt;0,H41*(1+Main!$C$81)+Main!$C$78+Main!$C$79+Main!$C$80,0)</f>
        <v>0</v>
      </c>
    </row>
    <row r="42" spans="1:9" ht="12.75" customHeight="1" x14ac:dyDescent="0.15">
      <c r="A42" s="106"/>
      <c r="B42" s="108"/>
      <c r="C42" s="108"/>
      <c r="F42" s="100"/>
      <c r="G42" s="100"/>
      <c r="I42" s="112">
        <f>IF(H42&gt;0,H42*(1+Main!$C$81)+Main!$C$78+Main!$C$79+Main!$C$80,0)</f>
        <v>0</v>
      </c>
    </row>
    <row r="43" spans="1:9" ht="12.75" customHeight="1" x14ac:dyDescent="0.15">
      <c r="A43" s="106"/>
      <c r="B43" s="108"/>
      <c r="C43" s="108"/>
      <c r="F43" s="100"/>
      <c r="G43" s="100"/>
      <c r="I43" s="112">
        <f>IF(H43&gt;0,H43*(1+Main!$C$81)+Main!$C$78+Main!$C$79+Main!$C$80,0)</f>
        <v>0</v>
      </c>
    </row>
    <row r="44" spans="1:9" ht="12.75" customHeight="1" x14ac:dyDescent="0.15">
      <c r="A44" s="106"/>
      <c r="B44" s="108"/>
      <c r="C44" s="108"/>
      <c r="F44" s="100"/>
      <c r="G44" s="100"/>
      <c r="I44" s="112">
        <f>IF(H44&gt;0,H44*(1+Main!$C$81)+Main!$C$78+Main!$C$79+Main!$C$80,0)</f>
        <v>0</v>
      </c>
    </row>
    <row r="45" spans="1:9" ht="12.75" customHeight="1" x14ac:dyDescent="0.15">
      <c r="A45" s="106"/>
      <c r="B45" s="108"/>
      <c r="C45" s="108"/>
      <c r="F45" s="100"/>
      <c r="G45" s="100"/>
      <c r="I45" s="112">
        <f>IF(H45&gt;0,H45*(1+Main!$C$81)+Main!$C$78+Main!$C$79+Main!$C$80,0)</f>
        <v>0</v>
      </c>
    </row>
    <row r="46" spans="1:9" ht="12.75" customHeight="1" x14ac:dyDescent="0.15">
      <c r="A46" s="106"/>
      <c r="B46" s="108"/>
      <c r="F46" s="100"/>
      <c r="G46" s="100"/>
      <c r="I46" s="112">
        <f>IF(H46&gt;0,H46*(1+Main!$C$81)+Main!$C$78+Main!$C$79+Main!$C$80,0)</f>
        <v>0</v>
      </c>
    </row>
    <row r="47" spans="1:9" ht="12.75" customHeight="1" x14ac:dyDescent="0.15">
      <c r="A47" s="106"/>
      <c r="B47" s="108"/>
      <c r="F47" s="100"/>
      <c r="G47" s="100"/>
      <c r="I47" s="112">
        <f>IF(H47&gt;0,H47*(1+Main!$C$81)+Main!$C$78+Main!$C$79+Main!$C$80,0)</f>
        <v>0</v>
      </c>
    </row>
    <row r="48" spans="1:9" ht="12.75" customHeight="1" x14ac:dyDescent="0.15">
      <c r="A48" s="106"/>
      <c r="B48" s="108"/>
      <c r="F48" s="100"/>
      <c r="G48" s="100"/>
      <c r="I48" s="112">
        <f>IF(H48&gt;0,H48*(1+Main!$C$81)+Main!$C$78+Main!$C$79+Main!$C$80,0)</f>
        <v>0</v>
      </c>
    </row>
    <row r="49" spans="1:9" ht="12.75" customHeight="1" x14ac:dyDescent="0.15">
      <c r="A49" s="106"/>
      <c r="B49" s="108"/>
      <c r="F49" s="100"/>
      <c r="G49" s="100"/>
      <c r="I49" s="112">
        <f>IF(H49&gt;0,H49*(1+Main!$C$81)+Main!$C$78+Main!$C$79+Main!$C$80,0)</f>
        <v>0</v>
      </c>
    </row>
    <row r="50" spans="1:9" ht="12.75" customHeight="1" x14ac:dyDescent="0.15">
      <c r="A50" s="106"/>
      <c r="B50" s="108"/>
      <c r="F50" s="100"/>
      <c r="G50" s="100"/>
      <c r="I50" s="112">
        <f>IF(H50&gt;0,H50*(1+Main!$C$81)+Main!$C$78+Main!$C$79+Main!$C$80,0)</f>
        <v>0</v>
      </c>
    </row>
    <row r="51" spans="1:9" ht="12.75" customHeight="1" x14ac:dyDescent="0.15">
      <c r="A51" s="106"/>
      <c r="B51" s="108"/>
      <c r="F51" s="100"/>
      <c r="G51" s="100"/>
      <c r="I51" s="112">
        <f>IF(H51&gt;0,H51*(1+Main!$C$81)+Main!$C$78+Main!$C$79+Main!$C$80,0)</f>
        <v>0</v>
      </c>
    </row>
    <row r="52" spans="1:9" ht="12.75" customHeight="1" x14ac:dyDescent="0.15">
      <c r="A52" s="106"/>
      <c r="B52" s="108"/>
      <c r="F52" s="100"/>
      <c r="G52" s="100"/>
      <c r="I52" s="112">
        <f>IF(H52&gt;0,H52*(1+Main!$C$81)+Main!$C$78+Main!$C$79+Main!$C$80,0)</f>
        <v>0</v>
      </c>
    </row>
    <row r="53" spans="1:9" ht="12.75" customHeight="1" x14ac:dyDescent="0.15">
      <c r="A53" s="106"/>
      <c r="B53" s="108"/>
      <c r="F53" s="100"/>
      <c r="G53" s="100"/>
      <c r="I53" s="112">
        <f>IF(H53&gt;0,H53*(1+Main!$C$81)+Main!$C$78+Main!$C$79+Main!$C$80,0)</f>
        <v>0</v>
      </c>
    </row>
    <row r="54" spans="1:9" ht="12.75" customHeight="1" x14ac:dyDescent="0.15">
      <c r="A54" s="106"/>
      <c r="B54" s="108"/>
      <c r="F54" s="100"/>
      <c r="G54" s="100"/>
      <c r="I54" s="112">
        <f>IF(H54&gt;0,H54*(1+Main!$C$81)+Main!$C$78+Main!$C$79+Main!$C$80,0)</f>
        <v>0</v>
      </c>
    </row>
    <row r="55" spans="1:9" ht="12.75" customHeight="1" x14ac:dyDescent="0.15">
      <c r="A55" s="106"/>
      <c r="B55" s="108"/>
      <c r="F55" s="100"/>
      <c r="G55" s="100"/>
      <c r="I55" s="112">
        <f>IF(H55&gt;0,H55*(1+Main!$C$81)+Main!$C$78+Main!$C$79+Main!$C$80,0)</f>
        <v>0</v>
      </c>
    </row>
    <row r="56" spans="1:9" ht="12.75" customHeight="1" x14ac:dyDescent="0.15">
      <c r="A56" s="106"/>
      <c r="B56" s="108"/>
      <c r="F56" s="100"/>
      <c r="G56" s="100"/>
      <c r="I56" s="112">
        <f>IF(H56&gt;0,H56*(1+Main!$C$81)+Main!$C$78+Main!$C$79+Main!$C$80,0)</f>
        <v>0</v>
      </c>
    </row>
    <row r="57" spans="1:9" ht="12.75" customHeight="1" x14ac:dyDescent="0.15">
      <c r="A57" s="106"/>
      <c r="B57" s="108"/>
      <c r="F57" s="100"/>
      <c r="G57" s="100"/>
      <c r="I57" s="112">
        <f>IF(H57&gt;0,H57*(1+Main!$C$81)+Main!$C$78+Main!$C$79+Main!$C$80,0)</f>
        <v>0</v>
      </c>
    </row>
    <row r="58" spans="1:9" ht="12.75" customHeight="1" x14ac:dyDescent="0.15">
      <c r="A58" s="106"/>
      <c r="B58" s="108"/>
      <c r="F58" s="100"/>
      <c r="G58" s="100"/>
      <c r="I58" s="112">
        <f>IF(H58&gt;0,H58*(1+Main!$C$81)+Main!$C$78+Main!$C$79+Main!$C$80,0)</f>
        <v>0</v>
      </c>
    </row>
    <row r="59" spans="1:9" ht="12.75" customHeight="1" x14ac:dyDescent="0.15">
      <c r="A59" s="106"/>
      <c r="B59" s="108"/>
      <c r="F59" s="100"/>
      <c r="G59" s="100"/>
      <c r="I59" s="112">
        <f>IF(H59&gt;0,H59*(1+Main!$C$81)+Main!$C$78+Main!$C$79+Main!$C$80,0)</f>
        <v>0</v>
      </c>
    </row>
    <row r="60" spans="1:9" ht="12.75" customHeight="1" x14ac:dyDescent="0.15">
      <c r="A60" s="106"/>
      <c r="B60" s="108"/>
      <c r="F60" s="100"/>
      <c r="G60" s="100"/>
      <c r="I60" s="112">
        <f>IF(H60&gt;0,H60*(1+Main!$C$81)+Main!$C$78+Main!$C$79+Main!$C$80,0)</f>
        <v>0</v>
      </c>
    </row>
    <row r="61" spans="1:9" ht="12.75" customHeight="1" x14ac:dyDescent="0.15">
      <c r="A61" s="106"/>
      <c r="B61" s="108"/>
      <c r="F61" s="100"/>
      <c r="G61" s="100"/>
      <c r="I61" s="112">
        <f>IF(H61&gt;0,H61*(1+Main!$C$81)+Main!$C$78+Main!$C$79+Main!$C$80,0)</f>
        <v>0</v>
      </c>
    </row>
    <row r="62" spans="1:9" ht="12.75" customHeight="1" x14ac:dyDescent="0.15">
      <c r="A62" s="106"/>
      <c r="B62" s="108"/>
      <c r="F62" s="100"/>
      <c r="G62" s="100"/>
      <c r="I62" s="112">
        <f>IF(H62&gt;0,H62*(1+Main!$C$81)+Main!$C$78+Main!$C$79+Main!$C$80,0)</f>
        <v>0</v>
      </c>
    </row>
    <row r="63" spans="1:9" ht="12.75" customHeight="1" x14ac:dyDescent="0.15">
      <c r="A63" s="106"/>
      <c r="B63" s="108"/>
      <c r="F63" s="100"/>
      <c r="G63" s="100"/>
      <c r="I63" s="112">
        <f>IF(H63&gt;0,H63*(1+Main!$C$81)+Main!$C$78+Main!$C$79+Main!$C$80,0)</f>
        <v>0</v>
      </c>
    </row>
    <row r="64" spans="1:9" ht="12.75" customHeight="1" x14ac:dyDescent="0.15">
      <c r="A64" s="106"/>
      <c r="B64" s="108"/>
      <c r="F64" s="100"/>
      <c r="G64" s="100"/>
      <c r="I64" s="112">
        <f>IF(H64&gt;0,H64*(1+Main!$C$81)+Main!$C$78+Main!$C$79+Main!$C$80,0)</f>
        <v>0</v>
      </c>
    </row>
    <row r="65" spans="1:9" ht="12.75" customHeight="1" x14ac:dyDescent="0.15">
      <c r="A65" s="106"/>
      <c r="B65" s="108"/>
      <c r="F65" s="100"/>
      <c r="G65" s="100"/>
      <c r="I65" s="112">
        <f>IF(H65&gt;0,H65*(1+Main!$C$81)+Main!$C$78+Main!$C$79+Main!$C$80,0)</f>
        <v>0</v>
      </c>
    </row>
    <row r="66" spans="1:9" ht="12.75" customHeight="1" x14ac:dyDescent="0.15">
      <c r="A66" s="106"/>
      <c r="B66" s="108"/>
      <c r="F66" s="100"/>
      <c r="G66" s="100"/>
      <c r="I66" s="112">
        <f>IF(H66&gt;0,H66*(1+Main!$C$81)+Main!$C$78+Main!$C$79+Main!$C$80,0)</f>
        <v>0</v>
      </c>
    </row>
    <row r="67" spans="1:9" ht="12.75" customHeight="1" x14ac:dyDescent="0.15">
      <c r="A67" s="106"/>
      <c r="B67" s="108"/>
      <c r="F67" s="100"/>
      <c r="G67" s="100"/>
      <c r="I67" s="112">
        <f>IF(H67&gt;0,H67*(1+Main!$C$81)+Main!$C$78+Main!$C$79+Main!$C$80,0)</f>
        <v>0</v>
      </c>
    </row>
    <row r="68" spans="1:9" ht="12.75" customHeight="1" x14ac:dyDescent="0.15">
      <c r="A68" s="106"/>
      <c r="B68" s="108"/>
      <c r="F68" s="100"/>
      <c r="G68" s="100"/>
      <c r="I68" s="112">
        <f>IF(H68&gt;0,H68*(1+Main!$C$81)+Main!$C$78+Main!$C$79+Main!$C$80,0)</f>
        <v>0</v>
      </c>
    </row>
    <row r="69" spans="1:9" ht="12.75" customHeight="1" x14ac:dyDescent="0.15">
      <c r="A69" s="106"/>
      <c r="B69" s="108"/>
      <c r="F69" s="100"/>
      <c r="G69" s="100"/>
      <c r="I69" s="112">
        <f>IF(H69&gt;0,H69*(1+Main!$C$81)+Main!$C$78+Main!$C$79+Main!$C$80,0)</f>
        <v>0</v>
      </c>
    </row>
    <row r="70" spans="1:9" ht="12.75" customHeight="1" x14ac:dyDescent="0.15">
      <c r="A70" s="106"/>
      <c r="B70" s="108"/>
      <c r="F70" s="100"/>
      <c r="G70" s="100"/>
      <c r="I70" s="112">
        <f>IF(H70&gt;0,H70*(1+Main!$C$81)+Main!$C$78+Main!$C$79+Main!$C$80,0)</f>
        <v>0</v>
      </c>
    </row>
    <row r="71" spans="1:9" ht="12.75" customHeight="1" x14ac:dyDescent="0.15">
      <c r="A71" s="106"/>
      <c r="B71" s="108"/>
      <c r="F71" s="100"/>
      <c r="G71" s="100"/>
      <c r="I71" s="112">
        <f>IF(H71&gt;0,H71*(1+Main!$C$81)+Main!$C$78+Main!$C$79+Main!$C$80,0)</f>
        <v>0</v>
      </c>
    </row>
    <row r="72" spans="1:9" ht="12.75" customHeight="1" x14ac:dyDescent="0.15">
      <c r="A72" s="106"/>
      <c r="B72" s="108"/>
      <c r="F72" s="100"/>
      <c r="G72" s="100"/>
      <c r="I72" s="112">
        <f>IF(H72&gt;0,H72*(1+Main!$C$81)+Main!$C$78+Main!$C$79+Main!$C$80,0)</f>
        <v>0</v>
      </c>
    </row>
    <row r="73" spans="1:9" ht="12.75" customHeight="1" x14ac:dyDescent="0.15">
      <c r="A73" s="106"/>
      <c r="B73" s="108"/>
      <c r="F73" s="100"/>
      <c r="G73" s="100"/>
      <c r="I73" s="112">
        <f>IF(H73&gt;0,H73*(1+Main!$C$81)+Main!$C$78+Main!$C$79+Main!$C$80,0)</f>
        <v>0</v>
      </c>
    </row>
    <row r="74" spans="1:9" ht="12.75" customHeight="1" x14ac:dyDescent="0.15">
      <c r="A74" s="106"/>
      <c r="B74" s="108"/>
      <c r="F74" s="100"/>
      <c r="G74" s="100"/>
      <c r="I74" s="112">
        <f>IF(H74&gt;0,H74*(1+Main!$C$81)+Main!$C$78+Main!$C$79+Main!$C$80,0)</f>
        <v>0</v>
      </c>
    </row>
    <row r="75" spans="1:9" ht="12.75" customHeight="1" x14ac:dyDescent="0.15">
      <c r="A75" s="106"/>
      <c r="B75" s="108"/>
      <c r="F75" s="100"/>
      <c r="G75" s="100"/>
      <c r="I75" s="112">
        <f>IF(H75&gt;0,H75*(1+Main!$C$81)+Main!$C$78+Main!$C$79+Main!$C$80,0)</f>
        <v>0</v>
      </c>
    </row>
    <row r="76" spans="1:9" ht="12.75" customHeight="1" x14ac:dyDescent="0.15">
      <c r="A76" s="106"/>
      <c r="B76" s="108"/>
      <c r="F76" s="100"/>
      <c r="G76" s="100"/>
      <c r="I76" s="112">
        <f>IF(H76&gt;0,H76*(1+Main!$C$81)+Main!$C$78+Main!$C$79+Main!$C$80,0)</f>
        <v>0</v>
      </c>
    </row>
    <row r="77" spans="1:9" ht="12.75" customHeight="1" x14ac:dyDescent="0.15">
      <c r="A77" s="106"/>
      <c r="B77" s="108"/>
      <c r="F77" s="100"/>
      <c r="G77" s="100"/>
      <c r="I77" s="112">
        <f>IF(H77&gt;0,H77*(1+Main!$C$81)+Main!$C$78+Main!$C$79+Main!$C$80,0)</f>
        <v>0</v>
      </c>
    </row>
    <row r="78" spans="1:9" ht="12.75" customHeight="1" x14ac:dyDescent="0.15">
      <c r="A78" s="106"/>
      <c r="B78" s="108"/>
      <c r="F78" s="100"/>
      <c r="G78" s="100"/>
      <c r="I78" s="112">
        <f>IF(H78&gt;0,H78*(1+Main!$C$81)+Main!$C$78+Main!$C$79+Main!$C$80,0)</f>
        <v>0</v>
      </c>
    </row>
    <row r="79" spans="1:9" ht="12.75" customHeight="1" x14ac:dyDescent="0.15">
      <c r="A79" s="106"/>
      <c r="B79" s="108"/>
      <c r="F79" s="100"/>
      <c r="G79" s="100"/>
      <c r="I79" s="112">
        <f>IF(H79&gt;0,H79*(1+Main!$C$81)+Main!$C$78+Main!$C$79+Main!$C$80,0)</f>
        <v>0</v>
      </c>
    </row>
    <row r="80" spans="1:9" ht="12.75" customHeight="1" x14ac:dyDescent="0.15">
      <c r="A80" s="106"/>
      <c r="B80" s="108"/>
      <c r="F80" s="100"/>
      <c r="G80" s="100"/>
      <c r="I80" s="112">
        <f>IF(H80&gt;0,H80*(1+Main!$C$81)+Main!$C$78+Main!$C$79+Main!$C$80,0)</f>
        <v>0</v>
      </c>
    </row>
    <row r="81" spans="1:9" ht="12.75" customHeight="1" x14ac:dyDescent="0.15">
      <c r="A81" s="106"/>
      <c r="B81" s="108"/>
      <c r="F81" s="100"/>
      <c r="G81" s="100"/>
      <c r="I81" s="112">
        <f>IF(H81&gt;0,H81*(1+Main!$C$81)+Main!$C$78+Main!$C$79+Main!$C$80,0)</f>
        <v>0</v>
      </c>
    </row>
    <row r="82" spans="1:9" ht="12.75" customHeight="1" x14ac:dyDescent="0.15">
      <c r="A82" s="106"/>
      <c r="B82" s="108"/>
      <c r="F82" s="100"/>
      <c r="G82" s="100"/>
      <c r="I82" s="112">
        <f>IF(H82&gt;0,H82*(1+Main!$C$81)+Main!$C$78+Main!$C$79+Main!$C$80,0)</f>
        <v>0</v>
      </c>
    </row>
    <row r="83" spans="1:9" ht="12.75" customHeight="1" x14ac:dyDescent="0.15">
      <c r="A83" s="106"/>
      <c r="B83" s="108"/>
      <c r="F83" s="100"/>
      <c r="G83" s="100"/>
      <c r="I83" s="112">
        <f>IF(H83&gt;0,H83*(1+Main!$C$81)+Main!$C$78+Main!$C$79+Main!$C$80,0)</f>
        <v>0</v>
      </c>
    </row>
    <row r="84" spans="1:9" ht="12.75" customHeight="1" x14ac:dyDescent="0.15">
      <c r="A84" s="106"/>
      <c r="B84" s="108"/>
      <c r="F84" s="100"/>
      <c r="G84" s="100"/>
      <c r="I84" s="112">
        <f>IF(H84&gt;0,H84*(1+Main!$C$81)+Main!$C$78+Main!$C$79+Main!$C$80,0)</f>
        <v>0</v>
      </c>
    </row>
    <row r="85" spans="1:9" ht="12.75" customHeight="1" x14ac:dyDescent="0.15">
      <c r="A85" s="106"/>
      <c r="B85" s="108"/>
      <c r="F85" s="100"/>
      <c r="G85" s="100"/>
      <c r="I85" s="112">
        <f>IF(H85&gt;0,H85*(1+Main!$C$81)+Main!$C$78+Main!$C$79+Main!$C$80,0)</f>
        <v>0</v>
      </c>
    </row>
    <row r="86" spans="1:9" ht="12.75" customHeight="1" x14ac:dyDescent="0.15">
      <c r="A86" s="106"/>
      <c r="B86" s="108"/>
      <c r="F86" s="100"/>
      <c r="G86" s="100"/>
      <c r="I86" s="112">
        <f>IF(H86&gt;0,H86*(1+Main!$C$81)+Main!$C$78+Main!$C$79+Main!$C$80,0)</f>
        <v>0</v>
      </c>
    </row>
    <row r="87" spans="1:9" ht="12.75" customHeight="1" x14ac:dyDescent="0.15">
      <c r="A87" s="106"/>
      <c r="B87" s="108"/>
      <c r="F87" s="100"/>
      <c r="G87" s="100"/>
      <c r="I87" s="112">
        <f>IF(H87&gt;0,H87*(1+Main!$C$81)+Main!$C$78+Main!$C$79+Main!$C$80,0)</f>
        <v>0</v>
      </c>
    </row>
    <row r="88" spans="1:9" ht="12.75" customHeight="1" x14ac:dyDescent="0.15">
      <c r="A88" s="106"/>
      <c r="B88" s="108"/>
      <c r="F88" s="100"/>
      <c r="G88" s="100"/>
      <c r="I88" s="112">
        <f>IF(H88&gt;0,H88*(1+Main!$C$81)+Main!$C$78+Main!$C$79+Main!$C$80,0)</f>
        <v>0</v>
      </c>
    </row>
    <row r="89" spans="1:9" ht="12.75" customHeight="1" x14ac:dyDescent="0.15">
      <c r="A89" s="106"/>
      <c r="B89" s="108"/>
      <c r="F89" s="100"/>
      <c r="G89" s="100"/>
      <c r="I89" s="112">
        <f>IF(H89&gt;0,H89*(1+Main!$C$81)+Main!$C$78+Main!$C$79+Main!$C$80,0)</f>
        <v>0</v>
      </c>
    </row>
    <row r="90" spans="1:9" ht="12.75" customHeight="1" x14ac:dyDescent="0.15">
      <c r="A90" s="106"/>
      <c r="B90" s="108"/>
      <c r="F90" s="100"/>
      <c r="G90" s="100"/>
      <c r="I90" s="112">
        <f>IF(H90&gt;0,H90*(1+Main!$C$81)+Main!$C$78+Main!$C$79+Main!$C$80,0)</f>
        <v>0</v>
      </c>
    </row>
    <row r="91" spans="1:9" ht="12.75" customHeight="1" x14ac:dyDescent="0.15">
      <c r="A91" s="106"/>
      <c r="B91" s="108"/>
      <c r="F91" s="100"/>
      <c r="G91" s="100"/>
      <c r="I91" s="112">
        <f>IF(H91&gt;0,H91*(1+Main!$C$81)+Main!$C$78+Main!$C$79+Main!$C$80,0)</f>
        <v>0</v>
      </c>
    </row>
    <row r="92" spans="1:9" ht="12.75" customHeight="1" x14ac:dyDescent="0.15">
      <c r="A92" s="106"/>
      <c r="B92" s="108"/>
      <c r="F92" s="100"/>
      <c r="G92" s="100"/>
      <c r="I92" s="112">
        <f>IF(H92&gt;0,H92*(1+Main!$C$81)+Main!$C$78+Main!$C$79+Main!$C$80,0)</f>
        <v>0</v>
      </c>
    </row>
    <row r="93" spans="1:9" ht="12.75" customHeight="1" x14ac:dyDescent="0.15">
      <c r="A93" s="106"/>
      <c r="B93" s="108"/>
      <c r="F93" s="100"/>
      <c r="G93" s="100"/>
      <c r="I93" s="112">
        <f>IF(H93&gt;0,H93*(1+Main!$C$81)+Main!$C$78+Main!$C$79+Main!$C$80,0)</f>
        <v>0</v>
      </c>
    </row>
    <row r="94" spans="1:9" ht="12.75" customHeight="1" x14ac:dyDescent="0.15">
      <c r="A94" s="106"/>
      <c r="B94" s="108"/>
      <c r="F94" s="100"/>
      <c r="G94" s="100"/>
      <c r="I94" s="112">
        <f>IF(H94&gt;0,H94*(1+Main!$C$81)+Main!$C$78+Main!$C$79+Main!$C$80,0)</f>
        <v>0</v>
      </c>
    </row>
    <row r="95" spans="1:9" ht="12.75" customHeight="1" x14ac:dyDescent="0.15">
      <c r="A95" s="106"/>
      <c r="B95" s="108"/>
      <c r="F95" s="100"/>
      <c r="G95" s="100"/>
      <c r="I95" s="112">
        <f>IF(H95&gt;0,H95*(1+Main!$C$81)+Main!$C$78+Main!$C$79+Main!$C$80,0)</f>
        <v>0</v>
      </c>
    </row>
    <row r="96" spans="1:9" ht="12.75" customHeight="1" x14ac:dyDescent="0.15">
      <c r="A96" s="106"/>
      <c r="B96" s="108"/>
      <c r="F96" s="100"/>
      <c r="G96" s="100"/>
      <c r="I96" s="112">
        <f>IF(H96&gt;0,H96*(1+Main!$C$81)+Main!$C$78+Main!$C$79+Main!$C$80,0)</f>
        <v>0</v>
      </c>
    </row>
    <row r="97" spans="1:9" ht="12.75" customHeight="1" x14ac:dyDescent="0.15">
      <c r="A97" s="106"/>
      <c r="B97" s="108"/>
      <c r="F97" s="100"/>
      <c r="G97" s="100"/>
      <c r="I97" s="112">
        <f>IF(H97&gt;0,H97*(1+Main!$C$81)+Main!$C$78+Main!$C$79+Main!$C$80,0)</f>
        <v>0</v>
      </c>
    </row>
    <row r="98" spans="1:9" ht="12.75" customHeight="1" x14ac:dyDescent="0.15">
      <c r="A98" s="106"/>
      <c r="B98" s="108"/>
      <c r="F98" s="100"/>
      <c r="G98" s="100"/>
      <c r="I98" s="112">
        <f>IF(H98&gt;0,H98*(1+Main!$C$81)+Main!$C$78+Main!$C$79+Main!$C$80,0)</f>
        <v>0</v>
      </c>
    </row>
    <row r="99" spans="1:9" ht="12.75" customHeight="1" x14ac:dyDescent="0.15">
      <c r="A99" s="106"/>
      <c r="B99" s="108"/>
      <c r="F99" s="100"/>
      <c r="G99" s="100"/>
      <c r="I99" s="112">
        <f>IF(H99&gt;0,H99*(1+Main!$C$81)+Main!$C$78+Main!$C$79+Main!$C$80,0)</f>
        <v>0</v>
      </c>
    </row>
    <row r="100" spans="1:9" ht="12.75" customHeight="1" x14ac:dyDescent="0.15">
      <c r="A100" s="106"/>
      <c r="B100" s="108"/>
      <c r="F100" s="100"/>
      <c r="G100" s="100"/>
      <c r="I100" s="112">
        <f>IF(H100&gt;0,H100*(1+Main!$C$81)+Main!$C$78+Main!$C$79+Main!$C$80,0)</f>
        <v>0</v>
      </c>
    </row>
    <row r="101" spans="1:9" ht="12.75" customHeight="1" x14ac:dyDescent="0.15">
      <c r="A101" s="106"/>
      <c r="B101" s="108"/>
      <c r="F101" s="100"/>
      <c r="G101" s="100"/>
      <c r="I101" s="112">
        <f>IF(H101&gt;0,H101*(1+Main!$C$81)+Main!$C$78+Main!$C$79+Main!$C$80,0)</f>
        <v>0</v>
      </c>
    </row>
    <row r="102" spans="1:9" ht="12.75" customHeight="1" x14ac:dyDescent="0.15">
      <c r="A102" s="106"/>
      <c r="B102" s="108"/>
      <c r="F102" s="100"/>
      <c r="G102" s="100"/>
      <c r="I102" s="112">
        <f>IF(H102&gt;0,H102*(1+Main!$C$81)+Main!$C$78+Main!$C$79+Main!$C$80,0)</f>
        <v>0</v>
      </c>
    </row>
    <row r="103" spans="1:9" ht="12.75" customHeight="1" x14ac:dyDescent="0.15">
      <c r="A103" s="106"/>
      <c r="B103" s="108"/>
      <c r="F103" s="100"/>
      <c r="G103" s="100"/>
      <c r="I103" s="112">
        <f>IF(H103&gt;0,H103*(1+Main!$C$81)+Main!$C$78+Main!$C$79+Main!$C$80,0)</f>
        <v>0</v>
      </c>
    </row>
    <row r="104" spans="1:9" ht="12.75" customHeight="1" x14ac:dyDescent="0.15">
      <c r="A104" s="106"/>
      <c r="B104" s="108"/>
      <c r="F104" s="100"/>
      <c r="G104" s="100"/>
      <c r="I104" s="112">
        <f>IF(H104&gt;0,H104*(1+Main!$C$81)+Main!$C$78+Main!$C$79+Main!$C$80,0)</f>
        <v>0</v>
      </c>
    </row>
    <row r="105" spans="1:9" ht="12.75" customHeight="1" x14ac:dyDescent="0.15">
      <c r="A105" s="106"/>
      <c r="B105" s="108"/>
      <c r="F105" s="100"/>
      <c r="G105" s="100"/>
      <c r="I105" s="112">
        <f>IF(H105&gt;0,H105*(1+Main!$C$81)+Main!$C$78+Main!$C$79+Main!$C$80,0)</f>
        <v>0</v>
      </c>
    </row>
    <row r="106" spans="1:9" ht="12.75" customHeight="1" x14ac:dyDescent="0.15">
      <c r="A106" s="106"/>
      <c r="B106" s="108"/>
      <c r="F106" s="100"/>
      <c r="G106" s="100"/>
      <c r="I106" s="112">
        <f>IF(H106&gt;0,H106*(1+Main!$C$81)+Main!$C$78+Main!$C$79+Main!$C$80,0)</f>
        <v>0</v>
      </c>
    </row>
    <row r="107" spans="1:9" ht="12.75" customHeight="1" x14ac:dyDescent="0.15">
      <c r="A107" s="106"/>
      <c r="B107" s="108"/>
      <c r="F107" s="100"/>
      <c r="G107" s="100"/>
      <c r="I107" s="112">
        <f>IF(H107&gt;0,H107*(1+Main!$C$81)+Main!$C$78+Main!$C$79+Main!$C$80,0)</f>
        <v>0</v>
      </c>
    </row>
    <row r="108" spans="1:9" ht="12.75" customHeight="1" x14ac:dyDescent="0.15">
      <c r="A108" s="106"/>
      <c r="B108" s="108"/>
      <c r="F108" s="100"/>
      <c r="G108" s="100"/>
      <c r="I108" s="112">
        <f>IF(H108&gt;0,H108*(1+Main!$C$81)+Main!$C$78+Main!$C$79+Main!$C$80,0)</f>
        <v>0</v>
      </c>
    </row>
    <row r="109" spans="1:9" ht="12.75" customHeight="1" x14ac:dyDescent="0.15">
      <c r="A109" s="106"/>
      <c r="B109" s="108"/>
      <c r="F109" s="100"/>
      <c r="G109" s="100"/>
      <c r="I109" s="112">
        <f>IF(H109&gt;0,H109*(1+Main!$C$81)+Main!$C$78+Main!$C$79+Main!$C$80,0)</f>
        <v>0</v>
      </c>
    </row>
    <row r="110" spans="1:9" ht="12.75" customHeight="1" x14ac:dyDescent="0.15">
      <c r="A110" s="106"/>
      <c r="B110" s="108"/>
      <c r="F110" s="100"/>
      <c r="G110" s="100"/>
      <c r="I110" s="112">
        <f>IF(H110&gt;0,H110*(1+Main!$C$81)+Main!$C$78+Main!$C$79+Main!$C$80,0)</f>
        <v>0</v>
      </c>
    </row>
    <row r="111" spans="1:9" ht="12.75" customHeight="1" x14ac:dyDescent="0.15">
      <c r="A111" s="106"/>
      <c r="B111" s="108"/>
      <c r="F111" s="100"/>
      <c r="G111" s="100"/>
      <c r="I111" s="112">
        <f>IF(H111&gt;0,H111*(1+Main!$C$81)+Main!$C$78+Main!$C$79+Main!$C$80,0)</f>
        <v>0</v>
      </c>
    </row>
    <row r="112" spans="1:9" ht="12.75" customHeight="1" x14ac:dyDescent="0.15">
      <c r="A112" s="106"/>
      <c r="B112" s="108"/>
      <c r="F112" s="100"/>
      <c r="G112" s="100"/>
      <c r="I112" s="112">
        <f>IF(H112&gt;0,H112*(1+Main!$C$81)+Main!$C$78+Main!$C$79+Main!$C$80,0)</f>
        <v>0</v>
      </c>
    </row>
    <row r="113" spans="1:9" ht="12.75" customHeight="1" x14ac:dyDescent="0.15">
      <c r="A113" s="106"/>
      <c r="B113" s="108"/>
      <c r="F113" s="100"/>
      <c r="G113" s="100"/>
      <c r="I113" s="112">
        <f>IF(H113&gt;0,H113*(1+Main!$C$81)+Main!$C$78+Main!$C$79+Main!$C$80,0)</f>
        <v>0</v>
      </c>
    </row>
    <row r="114" spans="1:9" ht="12.75" customHeight="1" x14ac:dyDescent="0.15">
      <c r="A114" s="106"/>
      <c r="B114" s="108"/>
      <c r="F114" s="100"/>
      <c r="G114" s="100"/>
      <c r="I114" s="112">
        <f>IF(H114&gt;0,H114*(1+Main!$C$81)+Main!$C$78+Main!$C$79+Main!$C$80,0)</f>
        <v>0</v>
      </c>
    </row>
    <row r="115" spans="1:9" ht="12.75" customHeight="1" x14ac:dyDescent="0.15">
      <c r="A115" s="106"/>
      <c r="B115" s="108"/>
      <c r="F115" s="100"/>
      <c r="G115" s="100"/>
      <c r="I115" s="112">
        <f>IF(H115&gt;0,H115*(1+Main!$C$81)+Main!$C$78+Main!$C$79+Main!$C$80,0)</f>
        <v>0</v>
      </c>
    </row>
    <row r="116" spans="1:9" ht="12.75" customHeight="1" x14ac:dyDescent="0.15">
      <c r="A116" s="106"/>
      <c r="B116" s="108"/>
      <c r="F116" s="100"/>
      <c r="G116" s="100"/>
      <c r="I116" s="112">
        <f>IF(H116&gt;0,H116*(1+Main!$C$81)+Main!$C$78+Main!$C$79+Main!$C$80,0)</f>
        <v>0</v>
      </c>
    </row>
    <row r="117" spans="1:9" ht="12.75" customHeight="1" x14ac:dyDescent="0.15">
      <c r="A117" s="106"/>
      <c r="B117" s="108"/>
      <c r="F117" s="100"/>
      <c r="G117" s="100"/>
      <c r="I117" s="112">
        <f>IF(H117&gt;0,H117*(1+Main!$C$81)+Main!$C$78+Main!$C$79+Main!$C$80,0)</f>
        <v>0</v>
      </c>
    </row>
    <row r="118" spans="1:9" ht="12.75" customHeight="1" x14ac:dyDescent="0.15">
      <c r="A118" s="106"/>
      <c r="B118" s="108"/>
      <c r="F118" s="100"/>
      <c r="G118" s="100"/>
      <c r="I118" s="112">
        <f>IF(H118&gt;0,H118*(1+Main!$C$81)+Main!$C$78+Main!$C$79+Main!$C$80,0)</f>
        <v>0</v>
      </c>
    </row>
    <row r="119" spans="1:9" ht="12.75" customHeight="1" x14ac:dyDescent="0.15">
      <c r="A119" s="106"/>
      <c r="B119" s="108"/>
      <c r="F119" s="100"/>
      <c r="G119" s="100"/>
      <c r="I119" s="112">
        <f>IF(H119&gt;0,H119*(1+Main!$C$81)+Main!$C$78+Main!$C$79+Main!$C$80,0)</f>
        <v>0</v>
      </c>
    </row>
    <row r="120" spans="1:9" ht="12.75" customHeight="1" x14ac:dyDescent="0.15">
      <c r="A120" s="106"/>
      <c r="B120" s="108"/>
      <c r="F120" s="100"/>
      <c r="G120" s="100"/>
      <c r="I120" s="112">
        <f>IF(H120&gt;0,H120*(1+Main!$C$81)+Main!$C$78+Main!$C$79+Main!$C$80,0)</f>
        <v>0</v>
      </c>
    </row>
    <row r="121" spans="1:9" ht="12.75" customHeight="1" x14ac:dyDescent="0.15">
      <c r="A121" s="106"/>
      <c r="B121" s="108"/>
      <c r="F121" s="100"/>
      <c r="G121" s="100"/>
      <c r="I121" s="112">
        <f>IF(H121&gt;0,H121*(1+Main!$C$81)+Main!$C$78+Main!$C$79+Main!$C$80,0)</f>
        <v>0</v>
      </c>
    </row>
    <row r="122" spans="1:9" ht="12.75" customHeight="1" x14ac:dyDescent="0.15">
      <c r="A122" s="106"/>
      <c r="B122" s="108"/>
      <c r="F122" s="100"/>
      <c r="G122" s="100"/>
      <c r="I122" s="112">
        <f>IF(H122&gt;0,H122*(1+Main!$C$81)+Main!$C$78+Main!$C$79+Main!$C$80,0)</f>
        <v>0</v>
      </c>
    </row>
    <row r="123" spans="1:9" ht="12.75" customHeight="1" x14ac:dyDescent="0.15">
      <c r="A123" s="106"/>
      <c r="B123" s="108"/>
      <c r="F123" s="100"/>
      <c r="G123" s="100"/>
      <c r="I123" s="112">
        <f>IF(H123&gt;0,H123*(1+Main!$C$81)+Main!$C$78+Main!$C$79+Main!$C$80,0)</f>
        <v>0</v>
      </c>
    </row>
    <row r="124" spans="1:9" ht="12.75" customHeight="1" x14ac:dyDescent="0.15">
      <c r="A124" s="106"/>
      <c r="B124" s="108"/>
      <c r="F124" s="100"/>
      <c r="G124" s="100"/>
      <c r="I124" s="112">
        <f>IF(H124&gt;0,H124*(1+Main!$C$81)+Main!$C$78+Main!$C$79+Main!$C$80,0)</f>
        <v>0</v>
      </c>
    </row>
    <row r="125" spans="1:9" ht="12.75" customHeight="1" x14ac:dyDescent="0.15">
      <c r="A125" s="106"/>
      <c r="B125" s="108"/>
      <c r="F125" s="100"/>
      <c r="G125" s="100"/>
      <c r="I125" s="112">
        <f>IF(H125&gt;0,H125*(1+Main!$C$81)+Main!$C$78+Main!$C$79+Main!$C$80,0)</f>
        <v>0</v>
      </c>
    </row>
    <row r="126" spans="1:9" ht="12.75" customHeight="1" x14ac:dyDescent="0.15">
      <c r="A126" s="106"/>
      <c r="B126" s="108"/>
      <c r="F126" s="100"/>
      <c r="G126" s="100"/>
      <c r="I126" s="112">
        <f>IF(H126&gt;0,H126*(1+Main!$C$81)+Main!$C$78+Main!$C$79+Main!$C$80,0)</f>
        <v>0</v>
      </c>
    </row>
    <row r="127" spans="1:9" ht="12.75" customHeight="1" x14ac:dyDescent="0.15">
      <c r="A127" s="106"/>
      <c r="B127" s="108"/>
      <c r="F127" s="100"/>
      <c r="G127" s="100"/>
      <c r="I127" s="112">
        <f>IF(H127&gt;0,H127*(1+Main!$C$81)+Main!$C$78+Main!$C$79+Main!$C$80,0)</f>
        <v>0</v>
      </c>
    </row>
    <row r="128" spans="1:9" ht="12.75" customHeight="1" x14ac:dyDescent="0.15">
      <c r="A128" s="106"/>
      <c r="B128" s="108"/>
      <c r="F128" s="100"/>
      <c r="G128" s="100"/>
      <c r="I128" s="112">
        <f>IF(H128&gt;0,H128*(1+Main!$C$81)+Main!$C$78+Main!$C$79+Main!$C$80,0)</f>
        <v>0</v>
      </c>
    </row>
    <row r="129" spans="1:9" ht="12.75" customHeight="1" x14ac:dyDescent="0.15">
      <c r="A129" s="106"/>
      <c r="B129" s="108"/>
      <c r="F129" s="100"/>
      <c r="G129" s="100"/>
      <c r="I129" s="112">
        <f>IF(H129&gt;0,H129*(1+Main!$C$81)+Main!$C$78+Main!$C$79+Main!$C$80,0)</f>
        <v>0</v>
      </c>
    </row>
    <row r="130" spans="1:9" ht="12.75" customHeight="1" x14ac:dyDescent="0.15">
      <c r="A130" s="106"/>
      <c r="B130" s="108"/>
      <c r="F130" s="100"/>
      <c r="G130" s="100"/>
      <c r="I130" s="112">
        <f>IF(H130&gt;0,H130*(1+Main!$C$81)+Main!$C$78+Main!$C$79+Main!$C$80,0)</f>
        <v>0</v>
      </c>
    </row>
    <row r="131" spans="1:9" ht="12.75" customHeight="1" x14ac:dyDescent="0.15">
      <c r="A131" s="106"/>
      <c r="B131" s="108"/>
      <c r="F131" s="100"/>
      <c r="G131" s="100"/>
      <c r="I131" s="112">
        <f>IF(H131&gt;0,H131*(1+Main!$C$81)+Main!$C$78+Main!$C$79+Main!$C$80,0)</f>
        <v>0</v>
      </c>
    </row>
    <row r="132" spans="1:9" ht="12.75" customHeight="1" x14ac:dyDescent="0.15">
      <c r="A132" s="106"/>
      <c r="B132" s="108"/>
      <c r="F132" s="100"/>
      <c r="G132" s="100"/>
      <c r="I132" s="112">
        <f>IF(H132&gt;0,H132*(1+Main!$C$81)+Main!$C$78+Main!$C$79+Main!$C$80,0)</f>
        <v>0</v>
      </c>
    </row>
    <row r="133" spans="1:9" ht="12.75" customHeight="1" x14ac:dyDescent="0.15">
      <c r="A133" s="106"/>
      <c r="B133" s="108"/>
      <c r="F133" s="100"/>
      <c r="G133" s="100"/>
      <c r="I133" s="112">
        <f>IF(H133&gt;0,H133*(1+Main!$C$81)+Main!$C$78+Main!$C$79+Main!$C$80,0)</f>
        <v>0</v>
      </c>
    </row>
    <row r="134" spans="1:9" ht="12.75" customHeight="1" x14ac:dyDescent="0.15">
      <c r="A134" s="106"/>
      <c r="B134" s="108"/>
      <c r="F134" s="100"/>
      <c r="G134" s="100"/>
      <c r="I134" s="112">
        <f>IF(H134&gt;0,H134*(1+Main!$C$81)+Main!$C$78+Main!$C$79+Main!$C$80,0)</f>
        <v>0</v>
      </c>
    </row>
    <row r="135" spans="1:9" ht="12.75" customHeight="1" x14ac:dyDescent="0.15">
      <c r="A135" s="106"/>
      <c r="B135" s="108"/>
      <c r="F135" s="100"/>
      <c r="G135" s="100"/>
      <c r="I135" s="112">
        <f>IF(H135&gt;0,H135*(1+Main!$C$81)+Main!$C$78+Main!$C$79+Main!$C$80,0)</f>
        <v>0</v>
      </c>
    </row>
    <row r="136" spans="1:9" ht="12.75" customHeight="1" x14ac:dyDescent="0.15">
      <c r="A136" s="106"/>
      <c r="B136" s="108"/>
      <c r="F136" s="100"/>
      <c r="G136" s="100"/>
      <c r="I136" s="112">
        <f>IF(H136&gt;0,H136*(1+Main!$C$81)+Main!$C$78+Main!$C$79+Main!$C$80,0)</f>
        <v>0</v>
      </c>
    </row>
    <row r="137" spans="1:9" ht="12.75" customHeight="1" x14ac:dyDescent="0.15">
      <c r="A137" s="106"/>
      <c r="B137" s="108"/>
      <c r="F137" s="100"/>
      <c r="G137" s="100"/>
      <c r="I137" s="112">
        <f>IF(H137&gt;0,H137*(1+Main!$C$81)+Main!$C$78+Main!$C$79+Main!$C$80,0)</f>
        <v>0</v>
      </c>
    </row>
    <row r="138" spans="1:9" ht="12.75" customHeight="1" x14ac:dyDescent="0.15">
      <c r="A138" s="106"/>
      <c r="B138" s="108"/>
      <c r="F138" s="100"/>
      <c r="G138" s="100"/>
      <c r="I138" s="112">
        <f>IF(H138&gt;0,H138*(1+Main!$C$81)+Main!$C$78+Main!$C$79+Main!$C$80,0)</f>
        <v>0</v>
      </c>
    </row>
    <row r="139" spans="1:9" ht="12.75" customHeight="1" x14ac:dyDescent="0.15">
      <c r="A139" s="106"/>
      <c r="B139" s="108"/>
      <c r="F139" s="100"/>
      <c r="G139" s="100"/>
      <c r="I139" s="112">
        <f>IF(H139&gt;0,H139*(1+Main!$C$81)+Main!$C$78+Main!$C$79+Main!$C$80,0)</f>
        <v>0</v>
      </c>
    </row>
    <row r="140" spans="1:9" ht="12.75" customHeight="1" x14ac:dyDescent="0.15">
      <c r="A140" s="106"/>
      <c r="B140" s="108"/>
      <c r="F140" s="100"/>
      <c r="G140" s="100"/>
      <c r="I140" s="112">
        <f>IF(H140&gt;0,H140*(1+Main!$C$81)+Main!$C$78+Main!$C$79+Main!$C$80,0)</f>
        <v>0</v>
      </c>
    </row>
    <row r="141" spans="1:9" ht="12.75" customHeight="1" x14ac:dyDescent="0.15">
      <c r="A141" s="106"/>
      <c r="B141" s="108"/>
      <c r="F141" s="100"/>
      <c r="G141" s="100"/>
      <c r="I141" s="112">
        <f>IF(H141&gt;0,H141*(1+Main!$C$81)+Main!$C$78+Main!$C$79+Main!$C$80,0)</f>
        <v>0</v>
      </c>
    </row>
    <row r="142" spans="1:9" ht="12.75" customHeight="1" x14ac:dyDescent="0.15">
      <c r="A142" s="106"/>
      <c r="B142" s="108"/>
      <c r="F142" s="100"/>
      <c r="G142" s="100"/>
      <c r="I142" s="112">
        <f>IF(H142&gt;0,H142*(1+Main!$C$81)+Main!$C$78+Main!$C$79+Main!$C$80,0)</f>
        <v>0</v>
      </c>
    </row>
    <row r="143" spans="1:9" ht="12.75" customHeight="1" x14ac:dyDescent="0.15">
      <c r="A143" s="106"/>
      <c r="B143" s="108"/>
      <c r="F143" s="100"/>
      <c r="G143" s="100"/>
      <c r="I143" s="112">
        <f>IF(H143&gt;0,H143*(1+Main!$C$81)+Main!$C$78+Main!$C$79+Main!$C$80,0)</f>
        <v>0</v>
      </c>
    </row>
    <row r="144" spans="1:9" ht="12.75" customHeight="1" x14ac:dyDescent="0.15">
      <c r="A144" s="106"/>
      <c r="B144" s="108"/>
      <c r="F144" s="100"/>
      <c r="G144" s="100"/>
      <c r="I144" s="112">
        <f>IF(H144&gt;0,H144*(1+Main!$C$81)+Main!$C$78+Main!$C$79+Main!$C$80,0)</f>
        <v>0</v>
      </c>
    </row>
    <row r="145" spans="1:9" ht="12.75" customHeight="1" x14ac:dyDescent="0.15">
      <c r="A145" s="106"/>
      <c r="B145" s="108"/>
      <c r="F145" s="100"/>
      <c r="G145" s="100"/>
      <c r="I145" s="112">
        <f>IF(H145&gt;0,H145*(1+Main!$C$81)+Main!$C$78+Main!$C$79+Main!$C$80,0)</f>
        <v>0</v>
      </c>
    </row>
    <row r="146" spans="1:9" ht="12.75" customHeight="1" x14ac:dyDescent="0.15">
      <c r="A146" s="97"/>
      <c r="F146" s="100"/>
      <c r="G146" s="100"/>
      <c r="I146" s="112">
        <f>IF(H146&gt;0,H146*(1+Main!$C$81)+Main!$C$78+Main!$C$79+Main!$C$80,0)</f>
        <v>0</v>
      </c>
    </row>
    <row r="147" spans="1:9" ht="12.75" customHeight="1" x14ac:dyDescent="0.15">
      <c r="A147" s="97"/>
      <c r="F147" s="100"/>
      <c r="G147" s="100"/>
      <c r="I147" s="112">
        <f>IF(H147&gt;0,H147*(1+Main!$C$81)+Main!$C$78+Main!$C$79+Main!$C$80,0)</f>
        <v>0</v>
      </c>
    </row>
    <row r="148" spans="1:9" ht="12.75" customHeight="1" x14ac:dyDescent="0.15">
      <c r="A148" s="97"/>
      <c r="F148" s="100"/>
      <c r="G148" s="100"/>
      <c r="I148" s="112">
        <f>IF(H148&gt;0,H148*(1+Main!$C$81)+Main!$C$78+Main!$C$79+Main!$C$80,0)</f>
        <v>0</v>
      </c>
    </row>
    <row r="149" spans="1:9" ht="12.75" customHeight="1" x14ac:dyDescent="0.15">
      <c r="A149" s="97"/>
      <c r="F149" s="100"/>
      <c r="G149" s="100"/>
      <c r="I149" s="112">
        <f>IF(H149&gt;0,H149*(1+Main!$C$81)+Main!$C$78+Main!$C$79+Main!$C$80,0)</f>
        <v>0</v>
      </c>
    </row>
    <row r="150" spans="1:9" ht="12.75" customHeight="1" x14ac:dyDescent="0.15">
      <c r="A150" s="97"/>
      <c r="F150" s="100"/>
      <c r="G150" s="100"/>
      <c r="I150" s="112">
        <f>IF(H150&gt;0,H150*(1+Main!$C$81)+Main!$C$78+Main!$C$79+Main!$C$80,0)</f>
        <v>0</v>
      </c>
    </row>
    <row r="151" spans="1:9" ht="12.75" customHeight="1" x14ac:dyDescent="0.15">
      <c r="A151" s="97"/>
      <c r="F151" s="100"/>
      <c r="G151" s="100"/>
      <c r="I151" s="112">
        <f>IF(H151&gt;0,H151*(1+Main!$C$81)+Main!$C$78+Main!$C$79+Main!$C$80,0)</f>
        <v>0</v>
      </c>
    </row>
    <row r="152" spans="1:9" ht="12.75" customHeight="1" x14ac:dyDescent="0.15">
      <c r="A152" s="97"/>
      <c r="F152" s="100"/>
      <c r="G152" s="100"/>
      <c r="I152" s="112">
        <f>IF(H152&gt;0,H152*(1+Main!$C$81)+Main!$C$78+Main!$C$79+Main!$C$80,0)</f>
        <v>0</v>
      </c>
    </row>
    <row r="153" spans="1:9" ht="12.75" customHeight="1" x14ac:dyDescent="0.15">
      <c r="A153" s="97"/>
      <c r="F153" s="100"/>
      <c r="G153" s="100"/>
      <c r="I153" s="112">
        <f>IF(H153&gt;0,H153*(1+Main!$C$81)+Main!$C$78+Main!$C$79+Main!$C$80,0)</f>
        <v>0</v>
      </c>
    </row>
    <row r="154" spans="1:9" ht="12.75" customHeight="1" x14ac:dyDescent="0.15">
      <c r="A154" s="97"/>
      <c r="F154" s="100"/>
      <c r="G154" s="100"/>
      <c r="I154" s="112">
        <f>IF(H154&gt;0,H154*(1+Main!$C$81)+Main!$C$78+Main!$C$79+Main!$C$80,0)</f>
        <v>0</v>
      </c>
    </row>
    <row r="155" spans="1:9" ht="12.75" customHeight="1" x14ac:dyDescent="0.15">
      <c r="A155" s="97"/>
      <c r="F155" s="100"/>
      <c r="G155" s="100"/>
      <c r="I155" s="112">
        <f>IF(H155&gt;0,H155*(1+Main!$C$81)+Main!$C$78+Main!$C$79+Main!$C$80,0)</f>
        <v>0</v>
      </c>
    </row>
    <row r="156" spans="1:9" ht="12.75" customHeight="1" x14ac:dyDescent="0.15">
      <c r="A156" s="97"/>
      <c r="F156" s="100"/>
      <c r="G156" s="100"/>
      <c r="I156" s="112">
        <f>IF(H156&gt;0,H156*(1+Main!$C$81)+Main!$C$78+Main!$C$79+Main!$C$80,0)</f>
        <v>0</v>
      </c>
    </row>
    <row r="157" spans="1:9" ht="12.75" customHeight="1" x14ac:dyDescent="0.15">
      <c r="A157" s="97"/>
      <c r="F157" s="100"/>
      <c r="G157" s="100"/>
      <c r="I157" s="112">
        <f>IF(H157&gt;0,H157*(1+Main!$C$81)+Main!$C$78+Main!$C$79+Main!$C$80,0)</f>
        <v>0</v>
      </c>
    </row>
    <row r="158" spans="1:9" ht="12.75" customHeight="1" x14ac:dyDescent="0.15">
      <c r="A158" s="97"/>
      <c r="F158" s="100"/>
      <c r="G158" s="100"/>
      <c r="I158" s="112">
        <f>IF(H158&gt;0,H158*(1+Main!$C$81)+Main!$C$78+Main!$C$79+Main!$C$80,0)</f>
        <v>0</v>
      </c>
    </row>
    <row r="159" spans="1:9" ht="12.75" customHeight="1" x14ac:dyDescent="0.15">
      <c r="A159" s="97"/>
      <c r="F159" s="100"/>
      <c r="G159" s="100"/>
      <c r="I159" s="112">
        <f>IF(H159&gt;0,H159*(1+Main!$C$81)+Main!$C$78+Main!$C$79+Main!$C$80,0)</f>
        <v>0</v>
      </c>
    </row>
    <row r="160" spans="1:9" ht="12.75" customHeight="1" x14ac:dyDescent="0.15">
      <c r="A160" s="97"/>
      <c r="F160" s="100"/>
      <c r="G160" s="100"/>
      <c r="I160" s="112">
        <f>IF(H160&gt;0,H160*(1+Main!$C$81)+Main!$C$78+Main!$C$79+Main!$C$80,0)</f>
        <v>0</v>
      </c>
    </row>
    <row r="161" spans="1:9" ht="12.75" customHeight="1" x14ac:dyDescent="0.15">
      <c r="A161" s="97"/>
      <c r="F161" s="100"/>
      <c r="G161" s="100"/>
      <c r="I161" s="112">
        <f>IF(H161&gt;0,H161*(1+Main!$C$81)+Main!$C$78+Main!$C$79+Main!$C$80,0)</f>
        <v>0</v>
      </c>
    </row>
    <row r="162" spans="1:9" ht="12.75" customHeight="1" x14ac:dyDescent="0.15">
      <c r="A162" s="97"/>
      <c r="F162" s="100"/>
      <c r="G162" s="100"/>
      <c r="I162" s="112">
        <f>IF(H162&gt;0,H162*(1+Main!$C$81)+Main!$C$78+Main!$C$79+Main!$C$80,0)</f>
        <v>0</v>
      </c>
    </row>
    <row r="163" spans="1:9" ht="12.75" customHeight="1" x14ac:dyDescent="0.15">
      <c r="A163" s="97"/>
      <c r="F163" s="100"/>
      <c r="G163" s="100"/>
      <c r="I163" s="112">
        <f>IF(H163&gt;0,H163*(1+Main!$C$81)+Main!$C$78+Main!$C$79+Main!$C$80,0)</f>
        <v>0</v>
      </c>
    </row>
    <row r="164" spans="1:9" ht="12.75" customHeight="1" x14ac:dyDescent="0.15">
      <c r="A164" s="97"/>
      <c r="F164" s="100"/>
      <c r="G164" s="100"/>
      <c r="I164" s="112">
        <f>IF(H164&gt;0,H164*(1+Main!$C$81)+Main!$C$78+Main!$C$79+Main!$C$80,0)</f>
        <v>0</v>
      </c>
    </row>
    <row r="165" spans="1:9" ht="12.75" customHeight="1" x14ac:dyDescent="0.15">
      <c r="A165" s="97"/>
      <c r="F165" s="100"/>
      <c r="G165" s="100"/>
      <c r="I165" s="112">
        <f>IF(H165&gt;0,H165*(1+Main!$C$81)+Main!$C$78+Main!$C$79+Main!$C$80,0)</f>
        <v>0</v>
      </c>
    </row>
    <row r="166" spans="1:9" ht="12.75" customHeight="1" x14ac:dyDescent="0.15">
      <c r="A166" s="97"/>
      <c r="F166" s="100"/>
      <c r="G166" s="100"/>
      <c r="I166" s="112">
        <f>IF(H166&gt;0,H166*(1+Main!$C$81)+Main!$C$78+Main!$C$79+Main!$C$80,0)</f>
        <v>0</v>
      </c>
    </row>
    <row r="167" spans="1:9" ht="12.75" customHeight="1" x14ac:dyDescent="0.15">
      <c r="A167" s="97"/>
      <c r="F167" s="100"/>
      <c r="G167" s="100"/>
      <c r="I167" s="112">
        <f>IF(H167&gt;0,H167*(1+Main!$C$81)+Main!$C$78+Main!$C$79+Main!$C$80,0)</f>
        <v>0</v>
      </c>
    </row>
    <row r="168" spans="1:9" ht="12.75" customHeight="1" x14ac:dyDescent="0.15">
      <c r="A168" s="97"/>
      <c r="F168" s="100"/>
      <c r="G168" s="100"/>
      <c r="I168" s="112">
        <f>IF(H168&gt;0,H168*(1+Main!$C$81)+Main!$C$78+Main!$C$79+Main!$C$80,0)</f>
        <v>0</v>
      </c>
    </row>
    <row r="169" spans="1:9" ht="12.75" customHeight="1" x14ac:dyDescent="0.15">
      <c r="A169" s="97"/>
      <c r="F169" s="100"/>
      <c r="G169" s="100"/>
      <c r="I169" s="112">
        <f>IF(H169&gt;0,H169*(1+Main!$C$81)+Main!$C$78+Main!$C$79+Main!$C$80,0)</f>
        <v>0</v>
      </c>
    </row>
    <row r="170" spans="1:9" ht="12.75" customHeight="1" x14ac:dyDescent="0.15">
      <c r="A170" s="97"/>
      <c r="F170" s="100"/>
      <c r="G170" s="100"/>
      <c r="I170" s="112">
        <f>IF(H170&gt;0,H170*(1+Main!$C$81)+Main!$C$78+Main!$C$79+Main!$C$80,0)</f>
        <v>0</v>
      </c>
    </row>
    <row r="171" spans="1:9" ht="12.75" customHeight="1" x14ac:dyDescent="0.15">
      <c r="A171" s="97"/>
      <c r="F171" s="100"/>
      <c r="G171" s="100"/>
      <c r="I171" s="112">
        <f>IF(H171&gt;0,H171*(1+Main!$C$81)+Main!$C$78+Main!$C$79+Main!$C$80,0)</f>
        <v>0</v>
      </c>
    </row>
    <row r="172" spans="1:9" ht="12.75" customHeight="1" x14ac:dyDescent="0.15">
      <c r="A172" s="97"/>
      <c r="F172" s="100"/>
      <c r="G172" s="100"/>
      <c r="I172" s="112">
        <f>IF(H172&gt;0,H172*(1+Main!$C$81)+Main!$C$78+Main!$C$79+Main!$C$80,0)</f>
        <v>0</v>
      </c>
    </row>
    <row r="173" spans="1:9" ht="12.75" customHeight="1" x14ac:dyDescent="0.15">
      <c r="A173" s="97"/>
      <c r="F173" s="100"/>
      <c r="G173" s="100"/>
      <c r="I173" s="112">
        <f>IF(H173&gt;0,H173*(1+Main!$C$81)+Main!$C$78+Main!$C$79+Main!$C$80,0)</f>
        <v>0</v>
      </c>
    </row>
    <row r="174" spans="1:9" ht="12.75" customHeight="1" x14ac:dyDescent="0.15">
      <c r="A174" s="97"/>
      <c r="F174" s="100"/>
      <c r="G174" s="100"/>
      <c r="I174" s="112">
        <f>IF(H174&gt;0,H174*(1+Main!$C$81)+Main!$C$78+Main!$C$79+Main!$C$80,0)</f>
        <v>0</v>
      </c>
    </row>
    <row r="175" spans="1:9" ht="12.75" customHeight="1" x14ac:dyDescent="0.15">
      <c r="A175" s="97"/>
      <c r="F175" s="100"/>
      <c r="G175" s="100"/>
      <c r="I175" s="112">
        <f>IF(H175&gt;0,H175*(1+Main!$C$81)+Main!$C$78+Main!$C$79+Main!$C$80,0)</f>
        <v>0</v>
      </c>
    </row>
    <row r="176" spans="1:9" ht="12.75" customHeight="1" x14ac:dyDescent="0.15">
      <c r="A176" s="97"/>
      <c r="F176" s="100"/>
      <c r="G176" s="100"/>
      <c r="I176" s="112">
        <f>IF(H176&gt;0,H176*(1+Main!$C$81)+Main!$C$78+Main!$C$79+Main!$C$80,0)</f>
        <v>0</v>
      </c>
    </row>
    <row r="177" spans="1:9" ht="12.75" customHeight="1" x14ac:dyDescent="0.15">
      <c r="A177" s="97"/>
      <c r="F177" s="100"/>
      <c r="G177" s="100"/>
      <c r="I177" s="112">
        <f>IF(H177&gt;0,H177*(1+Main!$C$81)+Main!$C$78+Main!$C$79+Main!$C$80,0)</f>
        <v>0</v>
      </c>
    </row>
    <row r="178" spans="1:9" ht="12.75" customHeight="1" x14ac:dyDescent="0.15">
      <c r="A178" s="97"/>
      <c r="F178" s="100"/>
      <c r="G178" s="100"/>
      <c r="I178" s="112">
        <f>IF(H178&gt;0,H178*(1+Main!$C$81)+Main!$C$78+Main!$C$79+Main!$C$80,0)</f>
        <v>0</v>
      </c>
    </row>
    <row r="179" spans="1:9" ht="12.75" customHeight="1" x14ac:dyDescent="0.15">
      <c r="A179" s="97"/>
      <c r="F179" s="100"/>
      <c r="G179" s="100"/>
      <c r="I179" s="112">
        <f>IF(H179&gt;0,H179*(1+Main!$C$81)+Main!$C$78+Main!$C$79+Main!$C$80,0)</f>
        <v>0</v>
      </c>
    </row>
    <row r="180" spans="1:9" ht="12.75" customHeight="1" x14ac:dyDescent="0.15">
      <c r="A180" s="97"/>
      <c r="F180" s="100"/>
      <c r="G180" s="100"/>
      <c r="I180" s="112">
        <f>IF(H180&gt;0,H180*(1+Main!$C$81)+Main!$C$78+Main!$C$79+Main!$C$80,0)</f>
        <v>0</v>
      </c>
    </row>
    <row r="181" spans="1:9" ht="12.75" customHeight="1" x14ac:dyDescent="0.15">
      <c r="A181" s="97"/>
      <c r="F181" s="100"/>
      <c r="G181" s="100"/>
      <c r="I181" s="112">
        <f>IF(H181&gt;0,H181*(1+Main!$C$81)+Main!$C$78+Main!$C$79+Main!$C$80,0)</f>
        <v>0</v>
      </c>
    </row>
    <row r="182" spans="1:9" ht="12.75" customHeight="1" x14ac:dyDescent="0.15">
      <c r="A182" s="97"/>
      <c r="F182" s="100"/>
      <c r="G182" s="100"/>
      <c r="I182" s="112">
        <f>IF(H182&gt;0,H182*(1+Main!$C$81)+Main!$C$78+Main!$C$79+Main!$C$80,0)</f>
        <v>0</v>
      </c>
    </row>
    <row r="183" spans="1:9" ht="12.75" customHeight="1" x14ac:dyDescent="0.15">
      <c r="I183" s="112">
        <f>IF(H183&gt;0,H183*(1+Main!$C$81)+Main!$C$78+Main!$C$79+Main!$C$80,0)</f>
        <v>0</v>
      </c>
    </row>
    <row r="184" spans="1:9" ht="12.75" customHeight="1" x14ac:dyDescent="0.15">
      <c r="I184" s="112">
        <f>IF(H184&gt;0,H184*(1+Main!$C$81)+Main!$C$78+Main!$C$79+Main!$C$80,0)</f>
        <v>0</v>
      </c>
    </row>
    <row r="185" spans="1:9" ht="12.75" customHeight="1" x14ac:dyDescent="0.15">
      <c r="I185" s="112">
        <f>IF(H185&gt;0,H185*(1+Main!$C$81)+Main!$C$78+Main!$C$79+Main!$C$80,0)</f>
        <v>0</v>
      </c>
    </row>
    <row r="186" spans="1:9" ht="12.75" customHeight="1" x14ac:dyDescent="0.15">
      <c r="I186" s="112">
        <f>IF(H186&gt;0,H186*(1+Main!$C$81)+Main!$C$78+Main!$C$79+Main!$C$80,0)</f>
        <v>0</v>
      </c>
    </row>
    <row r="187" spans="1:9" ht="12.75" customHeight="1" x14ac:dyDescent="0.15">
      <c r="I187" s="112">
        <f>IF(H187&gt;0,H187*(1+Main!$C$81)+Main!$C$78+Main!$C$79+Main!$C$80,0)</f>
        <v>0</v>
      </c>
    </row>
    <row r="188" spans="1:9" ht="12.75" customHeight="1" x14ac:dyDescent="0.15">
      <c r="I188" s="112">
        <f>IF(H188&gt;0,H188*(1+Main!$C$81)+Main!$C$78+Main!$C$79+Main!$C$80,0)</f>
        <v>0</v>
      </c>
    </row>
    <row r="189" spans="1:9" ht="12.75" customHeight="1" x14ac:dyDescent="0.15">
      <c r="I189" s="112">
        <f>IF(H189&gt;0,H189*(1+Main!$C$81)+Main!$C$78+Main!$C$79+Main!$C$80,0)</f>
        <v>0</v>
      </c>
    </row>
    <row r="190" spans="1:9" ht="12.75" customHeight="1" x14ac:dyDescent="0.15">
      <c r="I190" s="112">
        <f>IF(H190&gt;0,H190*(1+Main!$C$81)+Main!$C$78+Main!$C$79+Main!$C$80,0)</f>
        <v>0</v>
      </c>
    </row>
    <row r="191" spans="1:9" ht="12.75" customHeight="1" x14ac:dyDescent="0.15">
      <c r="I191" s="112">
        <f>IF(H191&gt;0,H191*(1+Main!$C$81)+Main!$C$78+Main!$C$79+Main!$C$80,0)</f>
        <v>0</v>
      </c>
    </row>
    <row r="192" spans="1:9" ht="12.75" customHeight="1" x14ac:dyDescent="0.15">
      <c r="I192" s="112">
        <f>IF(H192&gt;0,H192*(1+Main!$C$81)+Main!$C$78+Main!$C$79+Main!$C$80,0)</f>
        <v>0</v>
      </c>
    </row>
    <row r="193" spans="9:9" ht="12.75" customHeight="1" x14ac:dyDescent="0.15">
      <c r="I193" s="112">
        <f>IF(H193&gt;0,H193*(1+Main!$C$81)+Main!$C$78+Main!$C$79+Main!$C$80,0)</f>
        <v>0</v>
      </c>
    </row>
    <row r="194" spans="9:9" ht="12.75" customHeight="1" x14ac:dyDescent="0.15">
      <c r="I194" s="112">
        <f>IF(H194&gt;0,H194*(1+Main!$C$81)+Main!$C$78+Main!$C$79+Main!$C$80,0)</f>
        <v>0</v>
      </c>
    </row>
    <row r="195" spans="9:9" ht="12.75" customHeight="1" x14ac:dyDescent="0.15">
      <c r="I195" s="112">
        <f>IF(H195&gt;0,H195*(1+Main!$C$81)+Main!$C$78+Main!$C$79+Main!$C$80,0)</f>
        <v>0</v>
      </c>
    </row>
    <row r="196" spans="9:9" ht="12.75" customHeight="1" x14ac:dyDescent="0.15">
      <c r="I196" s="112">
        <f>IF(H196&gt;0,H196*(1+Main!$C$81)+Main!$C$78+Main!$C$79+Main!$C$80,0)</f>
        <v>0</v>
      </c>
    </row>
    <row r="197" spans="9:9" ht="12.75" customHeight="1" x14ac:dyDescent="0.15">
      <c r="I197" s="112">
        <f>IF(H197&gt;0,H197*(1+Main!$C$81)+Main!$C$78+Main!$C$79+Main!$C$80,0)</f>
        <v>0</v>
      </c>
    </row>
    <row r="198" spans="9:9" ht="12.75" customHeight="1" x14ac:dyDescent="0.15">
      <c r="I198" s="112">
        <f>IF(H198&gt;0,H198*(1+Main!$C$81)+Main!$C$78+Main!$C$79+Main!$C$80,0)</f>
        <v>0</v>
      </c>
    </row>
    <row r="199" spans="9:9" ht="12.75" customHeight="1" x14ac:dyDescent="0.15">
      <c r="I199" s="112">
        <f>IF(H199&gt;0,H199*(1+Main!$C$81)+Main!$C$78+Main!$C$79+Main!$C$80,0)</f>
        <v>0</v>
      </c>
    </row>
    <row r="200" spans="9:9" ht="12.75" customHeight="1" x14ac:dyDescent="0.15">
      <c r="I200" s="112">
        <f>IF(H200&gt;0,H200*(1+Main!$C$81)+Main!$C$78+Main!$C$79+Main!$C$80,0)</f>
        <v>0</v>
      </c>
    </row>
    <row r="201" spans="9:9" ht="12.75" customHeight="1" x14ac:dyDescent="0.15">
      <c r="I201" s="112">
        <f>IF(H201&gt;0,H201*(1+Main!$C$81)+Main!$C$78+Main!$C$79+Main!$C$80,0)</f>
        <v>0</v>
      </c>
    </row>
    <row r="202" spans="9:9" ht="12.75" customHeight="1" x14ac:dyDescent="0.15">
      <c r="I202" s="112">
        <f>IF(H202&gt;0,H202*(1+Main!$C$81)+Main!$C$78+Main!$C$79+Main!$C$80,0)</f>
        <v>0</v>
      </c>
    </row>
    <row r="203" spans="9:9" ht="12.75" customHeight="1" x14ac:dyDescent="0.15">
      <c r="I203" s="112">
        <f>IF(H203&gt;0,H203*(1+Main!$C$81)+Main!$C$78+Main!$C$79+Main!$C$80,0)</f>
        <v>0</v>
      </c>
    </row>
    <row r="204" spans="9:9" ht="12.75" customHeight="1" x14ac:dyDescent="0.15">
      <c r="I204" s="112">
        <f>IF(H204&gt;0,H204*(1+Main!$C$81)+Main!$C$78+Main!$C$79+Main!$C$80,0)</f>
        <v>0</v>
      </c>
    </row>
    <row r="205" spans="9:9" ht="12.75" customHeight="1" x14ac:dyDescent="0.15">
      <c r="I205" s="112">
        <f>IF(H205&gt;0,H205*(1+Main!$C$81)+Main!$C$78+Main!$C$79+Main!$C$80,0)</f>
        <v>0</v>
      </c>
    </row>
    <row r="206" spans="9:9" ht="12.75" customHeight="1" x14ac:dyDescent="0.15">
      <c r="I206" s="112">
        <f>IF(H206&gt;0,H206*(1+Main!$C$81)+Main!$C$78+Main!$C$79+Main!$C$80,0)</f>
        <v>0</v>
      </c>
    </row>
    <row r="207" spans="9:9" ht="12.75" customHeight="1" x14ac:dyDescent="0.15">
      <c r="I207" s="112">
        <f>IF(H207&gt;0,H207*(1+Main!$C$81)+Main!$C$78+Main!$C$79+Main!$C$80,0)</f>
        <v>0</v>
      </c>
    </row>
    <row r="208" spans="9:9" ht="12.75" customHeight="1" x14ac:dyDescent="0.15">
      <c r="I208" s="112">
        <f>IF(H208&gt;0,H208*(1+Main!$C$81)+Main!$C$78+Main!$C$79+Main!$C$80,0)</f>
        <v>0</v>
      </c>
    </row>
    <row r="209" spans="9:9" ht="12.75" customHeight="1" x14ac:dyDescent="0.15">
      <c r="I209" s="112">
        <f>IF(H209&gt;0,H209*(1+Main!$C$81)+Main!$C$78+Main!$C$79+Main!$C$80,0)</f>
        <v>0</v>
      </c>
    </row>
    <row r="210" spans="9:9" ht="12.75" customHeight="1" x14ac:dyDescent="0.15">
      <c r="I210" s="112">
        <f>IF(H210&gt;0,H210*(1+Main!$C$81)+Main!$C$78+Main!$C$79+Main!$C$80,0)</f>
        <v>0</v>
      </c>
    </row>
    <row r="211" spans="9:9" ht="12.75" customHeight="1" x14ac:dyDescent="0.15">
      <c r="I211" s="112">
        <f>IF(H211&gt;0,H211*(1+Main!$C$81)+Main!$C$78+Main!$C$79+Main!$C$80,0)</f>
        <v>0</v>
      </c>
    </row>
    <row r="212" spans="9:9" ht="12.75" customHeight="1" x14ac:dyDescent="0.15">
      <c r="I212" s="112">
        <f>IF(H212&gt;0,H212*(1+Main!$C$81)+Main!$C$78+Main!$C$79+Main!$C$80,0)</f>
        <v>0</v>
      </c>
    </row>
    <row r="213" spans="9:9" ht="12.75" customHeight="1" x14ac:dyDescent="0.15">
      <c r="I213" s="112">
        <f>IF(H213&gt;0,H213*(1+Main!$C$81)+Main!$C$78+Main!$C$79+Main!$C$80,0)</f>
        <v>0</v>
      </c>
    </row>
    <row r="214" spans="9:9" ht="12.75" customHeight="1" x14ac:dyDescent="0.15">
      <c r="I214" s="112">
        <f>IF(H214&gt;0,H214*(1+Main!$C$81)+Main!$C$78+Main!$C$79+Main!$C$80,0)</f>
        <v>0</v>
      </c>
    </row>
    <row r="215" spans="9:9" ht="12.75" customHeight="1" x14ac:dyDescent="0.15">
      <c r="I215" s="112">
        <f>IF(H215&gt;0,H215*(1+Main!$C$81)+Main!$C$78+Main!$C$79+Main!$C$80,0)</f>
        <v>0</v>
      </c>
    </row>
    <row r="216" spans="9:9" ht="12.75" customHeight="1" x14ac:dyDescent="0.15">
      <c r="I216" s="112">
        <f>IF(H216&gt;0,H216*(1+Main!$C$81)+Main!$C$78+Main!$C$79+Main!$C$80,0)</f>
        <v>0</v>
      </c>
    </row>
    <row r="217" spans="9:9" ht="12.75" customHeight="1" x14ac:dyDescent="0.15">
      <c r="I217" s="112">
        <f>IF(H217&gt;0,H217*(1+Main!$C$81)+Main!$C$78+Main!$C$79+Main!$C$80,0)</f>
        <v>0</v>
      </c>
    </row>
    <row r="218" spans="9:9" ht="12.75" customHeight="1" x14ac:dyDescent="0.15">
      <c r="I218" s="112">
        <f>IF(H218&gt;0,H218*(1+Main!$C$81)+Main!$C$78+Main!$C$79+Main!$C$80,0)</f>
        <v>0</v>
      </c>
    </row>
    <row r="219" spans="9:9" ht="12.75" customHeight="1" x14ac:dyDescent="0.15">
      <c r="I219" s="112">
        <f>IF(H219&gt;0,H219*(1+Main!$C$81)+Main!$C$78+Main!$C$79+Main!$C$80,0)</f>
        <v>0</v>
      </c>
    </row>
    <row r="220" spans="9:9" ht="12.75" customHeight="1" x14ac:dyDescent="0.15">
      <c r="I220" s="112">
        <f>IF(H220&gt;0,H220*(1+Main!$C$81)+Main!$C$78+Main!$C$79+Main!$C$80,0)</f>
        <v>0</v>
      </c>
    </row>
    <row r="221" spans="9:9" ht="12.75" customHeight="1" x14ac:dyDescent="0.15">
      <c r="I221" s="112">
        <f>IF(H221&gt;0,H221*(1+Main!$C$81)+Main!$C$78+Main!$C$79+Main!$C$80,0)</f>
        <v>0</v>
      </c>
    </row>
    <row r="222" spans="9:9" ht="12.75" customHeight="1" x14ac:dyDescent="0.15">
      <c r="I222" s="112">
        <f>IF(H222&gt;0,H222*(1+Main!$C$81)+Main!$C$78+Main!$C$79+Main!$C$80,0)</f>
        <v>0</v>
      </c>
    </row>
    <row r="223" spans="9:9" ht="12.75" customHeight="1" x14ac:dyDescent="0.15">
      <c r="I223" s="112">
        <f>IF(H223&gt;0,H223*(1+Main!$C$81)+Main!$C$78+Main!$C$79+Main!$C$80,0)</f>
        <v>0</v>
      </c>
    </row>
    <row r="224" spans="9:9" ht="12.75" customHeight="1" x14ac:dyDescent="0.15">
      <c r="I224" s="112">
        <f>IF(H224&gt;0,H224*(1+Main!$C$81)+Main!$C$78+Main!$C$79+Main!$C$80,0)</f>
        <v>0</v>
      </c>
    </row>
    <row r="225" spans="9:9" ht="12.75" customHeight="1" x14ac:dyDescent="0.15">
      <c r="I225" s="112">
        <f>IF(H225&gt;0,H225*(1+Main!$C$81)+Main!$C$78+Main!$C$79+Main!$C$80,0)</f>
        <v>0</v>
      </c>
    </row>
    <row r="226" spans="9:9" ht="12.75" customHeight="1" x14ac:dyDescent="0.15">
      <c r="I226" s="112">
        <f>IF(H226&gt;0,H226*(1+Main!$C$81)+Main!$C$78+Main!$C$79+Main!$C$80,0)</f>
        <v>0</v>
      </c>
    </row>
    <row r="227" spans="9:9" ht="12.75" customHeight="1" x14ac:dyDescent="0.15">
      <c r="I227" s="112">
        <f>IF(H227&gt;0,H227*(1+Main!$C$81)+Main!$C$78+Main!$C$79+Main!$C$80,0)</f>
        <v>0</v>
      </c>
    </row>
    <row r="228" spans="9:9" ht="12.75" customHeight="1" x14ac:dyDescent="0.15">
      <c r="I228" s="112">
        <f>IF(H228&gt;0,H228*(1+Main!$C$81)+Main!$C$78+Main!$C$79+Main!$C$80,0)</f>
        <v>0</v>
      </c>
    </row>
    <row r="229" spans="9:9" ht="12.75" customHeight="1" x14ac:dyDescent="0.15">
      <c r="I229" s="112">
        <f>IF(H229&gt;0,H229*(1+Main!$C$81)+Main!$C$78+Main!$C$79+Main!$C$80,0)</f>
        <v>0</v>
      </c>
    </row>
    <row r="230" spans="9:9" ht="12.75" customHeight="1" x14ac:dyDescent="0.15">
      <c r="I230" s="112">
        <f>IF(H230&gt;0,H230*(1+Main!$C$81)+Main!$C$78+Main!$C$79+Main!$C$80,0)</f>
        <v>0</v>
      </c>
    </row>
    <row r="231" spans="9:9" ht="12.75" customHeight="1" x14ac:dyDescent="0.15">
      <c r="I231" s="112">
        <f>IF(H231&gt;0,H231*(1+Main!$C$81)+Main!$C$78+Main!$C$79+Main!$C$80,0)</f>
        <v>0</v>
      </c>
    </row>
    <row r="232" spans="9:9" ht="12.75" customHeight="1" x14ac:dyDescent="0.15">
      <c r="I232" s="112">
        <f>IF(H232&gt;0,H232*(1+Main!$C$81)+Main!$C$78+Main!$C$79+Main!$C$80,0)</f>
        <v>0</v>
      </c>
    </row>
    <row r="233" spans="9:9" ht="12.75" customHeight="1" x14ac:dyDescent="0.15">
      <c r="I233" s="112">
        <f>IF(H233&gt;0,H233*(1+Main!$C$81)+Main!$C$78+Main!$C$79+Main!$C$80,0)</f>
        <v>0</v>
      </c>
    </row>
    <row r="234" spans="9:9" ht="12.75" customHeight="1" x14ac:dyDescent="0.15">
      <c r="I234" s="112">
        <f>IF(H234&gt;0,H234*(1+Main!$C$81)+Main!$C$78+Main!$C$79+Main!$C$80,0)</f>
        <v>0</v>
      </c>
    </row>
    <row r="235" spans="9:9" ht="12.75" customHeight="1" x14ac:dyDescent="0.15">
      <c r="I235" s="112">
        <f>IF(H235&gt;0,H235*(1+Main!$C$81)+Main!$C$78+Main!$C$79+Main!$C$80,0)</f>
        <v>0</v>
      </c>
    </row>
    <row r="236" spans="9:9" ht="12.75" customHeight="1" x14ac:dyDescent="0.15">
      <c r="I236" s="112">
        <f>IF(H236&gt;0,H236*(1+Main!$C$81)+Main!$C$78+Main!$C$79+Main!$C$80,0)</f>
        <v>0</v>
      </c>
    </row>
    <row r="237" spans="9:9" ht="12.75" customHeight="1" x14ac:dyDescent="0.15">
      <c r="I237" s="112">
        <f>IF(H237&gt;0,H237*(1+Main!$C$81)+Main!$C$78+Main!$C$79+Main!$C$80,0)</f>
        <v>0</v>
      </c>
    </row>
    <row r="238" spans="9:9" ht="12.75" customHeight="1" x14ac:dyDescent="0.15">
      <c r="I238" s="112">
        <f>IF(H238&gt;0,H238*(1+Main!$C$81)+Main!$C$78+Main!$C$79+Main!$C$80,0)</f>
        <v>0</v>
      </c>
    </row>
    <row r="239" spans="9:9" ht="12.75" customHeight="1" x14ac:dyDescent="0.15">
      <c r="I239" s="112">
        <f>IF(H239&gt;0,H239*(1+Main!$C$81)+Main!$C$78+Main!$C$79+Main!$C$80,0)</f>
        <v>0</v>
      </c>
    </row>
    <row r="240" spans="9:9" ht="12.75" customHeight="1" x14ac:dyDescent="0.15">
      <c r="I240" s="112">
        <f>IF(H240&gt;0,H240*(1+Main!$C$81)+Main!$C$78+Main!$C$79+Main!$C$80,0)</f>
        <v>0</v>
      </c>
    </row>
    <row r="241" spans="9:9" ht="12.75" customHeight="1" x14ac:dyDescent="0.15">
      <c r="I241" s="112">
        <f>IF(H241&gt;0,H241*(1+Main!$C$81)+Main!$C$78+Main!$C$79+Main!$C$80,0)</f>
        <v>0</v>
      </c>
    </row>
    <row r="242" spans="9:9" ht="12.75" customHeight="1" x14ac:dyDescent="0.15">
      <c r="I242" s="112">
        <f>IF(H242&gt;0,H242*(1+Main!$C$81)+Main!$C$78+Main!$C$79+Main!$C$80,0)</f>
        <v>0</v>
      </c>
    </row>
    <row r="243" spans="9:9" ht="12.75" customHeight="1" x14ac:dyDescent="0.15">
      <c r="I243" s="112">
        <f>IF(H243&gt;0,H243*(1+Main!$C$81)+Main!$C$78+Main!$C$79+Main!$C$80,0)</f>
        <v>0</v>
      </c>
    </row>
    <row r="244" spans="9:9" ht="12.75" customHeight="1" x14ac:dyDescent="0.15">
      <c r="I244" s="112">
        <f>IF(H244&gt;0,H244*(1+Main!$C$81)+Main!$C$78+Main!$C$79+Main!$C$80,0)</f>
        <v>0</v>
      </c>
    </row>
    <row r="245" spans="9:9" ht="12.75" customHeight="1" x14ac:dyDescent="0.15">
      <c r="I245" s="112">
        <f>IF(H245&gt;0,H245*(1+Main!$C$81)+Main!$C$78+Main!$C$79+Main!$C$80,0)</f>
        <v>0</v>
      </c>
    </row>
    <row r="246" spans="9:9" ht="12.75" customHeight="1" x14ac:dyDescent="0.15">
      <c r="I246" s="112">
        <f>IF(H246&gt;0,H246*(1+Main!$C$81)+Main!$C$78+Main!$C$79+Main!$C$80,0)</f>
        <v>0</v>
      </c>
    </row>
    <row r="247" spans="9:9" ht="12.75" customHeight="1" x14ac:dyDescent="0.15">
      <c r="I247" s="112">
        <f>IF(H247&gt;0,H247*(1+Main!$C$81)+Main!$C$78+Main!$C$79+Main!$C$80,0)</f>
        <v>0</v>
      </c>
    </row>
    <row r="248" spans="9:9" ht="12.75" customHeight="1" x14ac:dyDescent="0.15">
      <c r="I248" s="112">
        <f>IF(H248&gt;0,H248*(1+Main!$C$81)+Main!$C$78+Main!$C$79+Main!$C$80,0)</f>
        <v>0</v>
      </c>
    </row>
    <row r="249" spans="9:9" ht="12.75" customHeight="1" x14ac:dyDescent="0.15">
      <c r="I249" s="112">
        <f>IF(H249&gt;0,H249*(1+Main!$C$81)+Main!$C$78+Main!$C$79+Main!$C$80,0)</f>
        <v>0</v>
      </c>
    </row>
    <row r="250" spans="9:9" ht="12.75" customHeight="1" x14ac:dyDescent="0.15">
      <c r="I250" s="112">
        <f>IF(H250&gt;0,H250*(1+Main!$C$81)+Main!$C$78+Main!$C$79+Main!$C$80,0)</f>
        <v>0</v>
      </c>
    </row>
    <row r="251" spans="9:9" ht="12.75" customHeight="1" x14ac:dyDescent="0.15">
      <c r="I251" s="112">
        <f>IF(H251&gt;0,H251*(1+Main!$C$81)+Main!$C$78+Main!$C$79+Main!$C$80,0)</f>
        <v>0</v>
      </c>
    </row>
    <row r="252" spans="9:9" ht="12.75" customHeight="1" x14ac:dyDescent="0.15">
      <c r="I252" s="112">
        <f>IF(H252&gt;0,H252*(1+Main!$C$81)+Main!$C$78+Main!$C$79+Main!$C$80,0)</f>
        <v>0</v>
      </c>
    </row>
    <row r="253" spans="9:9" ht="12.75" customHeight="1" x14ac:dyDescent="0.15">
      <c r="I253" s="112">
        <f>IF(H253&gt;0,H253*(1+Main!$C$81)+Main!$C$78+Main!$C$79+Main!$C$80,0)</f>
        <v>0</v>
      </c>
    </row>
    <row r="254" spans="9:9" ht="12.75" customHeight="1" x14ac:dyDescent="0.15">
      <c r="I254" s="112">
        <f>IF(H254&gt;0,H254*(1+Main!$C$81)+Main!$C$78+Main!$C$79+Main!$C$80,0)</f>
        <v>0</v>
      </c>
    </row>
    <row r="255" spans="9:9" ht="12.75" customHeight="1" x14ac:dyDescent="0.15">
      <c r="I255" s="112">
        <f>IF(H255&gt;0,H255*(1+Main!$C$81)+Main!$C$78+Main!$C$79+Main!$C$80,0)</f>
        <v>0</v>
      </c>
    </row>
    <row r="256" spans="9:9" ht="12.75" customHeight="1" x14ac:dyDescent="0.15">
      <c r="I256" s="112">
        <f>IF(H256&gt;0,H256*(1+Main!$C$81)+Main!$C$78+Main!$C$79+Main!$C$80,0)</f>
        <v>0</v>
      </c>
    </row>
    <row r="257" spans="9:9" ht="12.75" customHeight="1" x14ac:dyDescent="0.15">
      <c r="I257" s="112">
        <f>IF(H257&gt;0,H257*(1+Main!$C$81)+Main!$C$78+Main!$C$79+Main!$C$80,0)</f>
        <v>0</v>
      </c>
    </row>
    <row r="258" spans="9:9" ht="12.75" customHeight="1" x14ac:dyDescent="0.15">
      <c r="I258" s="112">
        <f>IF(H258&gt;0,H258*(1+Main!$C$81)+Main!$C$78+Main!$C$79+Main!$C$80,0)</f>
        <v>0</v>
      </c>
    </row>
    <row r="259" spans="9:9" ht="12.75" customHeight="1" x14ac:dyDescent="0.15">
      <c r="I259" s="112">
        <f>IF(H259&gt;0,H259*(1+Main!$C$81)+Main!$C$78+Main!$C$79+Main!$C$80,0)</f>
        <v>0</v>
      </c>
    </row>
    <row r="260" spans="9:9" ht="12.75" customHeight="1" x14ac:dyDescent="0.15">
      <c r="I260" s="112">
        <f>IF(H260&gt;0,H260*(1+Main!$C$81)+Main!$C$78+Main!$C$79+Main!$C$80,0)</f>
        <v>0</v>
      </c>
    </row>
    <row r="261" spans="9:9" ht="12.75" customHeight="1" x14ac:dyDescent="0.15">
      <c r="I261" s="112">
        <f>IF(H261&gt;0,H261*(1+Main!$C$81)+Main!$C$78+Main!$C$79+Main!$C$80,0)</f>
        <v>0</v>
      </c>
    </row>
    <row r="262" spans="9:9" ht="12.75" customHeight="1" x14ac:dyDescent="0.15">
      <c r="I262" s="112">
        <f>IF(H262&gt;0,H262*(1+Main!$C$81)+Main!$C$78+Main!$C$79+Main!$C$80,0)</f>
        <v>0</v>
      </c>
    </row>
    <row r="263" spans="9:9" ht="12.75" customHeight="1" x14ac:dyDescent="0.15">
      <c r="I263" s="112">
        <f>IF(H263&gt;0,H263*(1+Main!$C$81)+Main!$C$78+Main!$C$79+Main!$C$80,0)</f>
        <v>0</v>
      </c>
    </row>
    <row r="264" spans="9:9" ht="12.75" customHeight="1" x14ac:dyDescent="0.15">
      <c r="I264" s="112">
        <f>IF(H264&gt;0,H264*(1+Main!$C$81)+Main!$C$78+Main!$C$79+Main!$C$80,0)</f>
        <v>0</v>
      </c>
    </row>
    <row r="265" spans="9:9" ht="12.75" customHeight="1" x14ac:dyDescent="0.15">
      <c r="I265" s="112">
        <f>IF(H265&gt;0,H265*(1+Main!$C$81)+Main!$C$78+Main!$C$79+Main!$C$80,0)</f>
        <v>0</v>
      </c>
    </row>
    <row r="266" spans="9:9" ht="12.75" customHeight="1" x14ac:dyDescent="0.15">
      <c r="I266" s="112">
        <f>IF(H266&gt;0,H266*(1+Main!$C$81)+Main!$C$78+Main!$C$79+Main!$C$80,0)</f>
        <v>0</v>
      </c>
    </row>
    <row r="267" spans="9:9" ht="12.75" customHeight="1" x14ac:dyDescent="0.15">
      <c r="I267" s="112">
        <f>IF(H267&gt;0,H267*(1+Main!$C$81)+Main!$C$78+Main!$C$79+Main!$C$80,0)</f>
        <v>0</v>
      </c>
    </row>
    <row r="268" spans="9:9" ht="12.75" customHeight="1" x14ac:dyDescent="0.15">
      <c r="I268" s="112">
        <f>IF(H268&gt;0,H268*(1+Main!$C$81)+Main!$C$78+Main!$C$79+Main!$C$80,0)</f>
        <v>0</v>
      </c>
    </row>
    <row r="269" spans="9:9" ht="12.75" customHeight="1" x14ac:dyDescent="0.15">
      <c r="I269" s="112">
        <f>IF(H269&gt;0,H269*(1+Main!$C$81)+Main!$C$78+Main!$C$79+Main!$C$80,0)</f>
        <v>0</v>
      </c>
    </row>
    <row r="270" spans="9:9" ht="12.75" customHeight="1" x14ac:dyDescent="0.15">
      <c r="I270" s="112">
        <f>IF(H270&gt;0,H270*(1+Main!$C$81)+Main!$C$78+Main!$C$79+Main!$C$80,0)</f>
        <v>0</v>
      </c>
    </row>
    <row r="271" spans="9:9" ht="12.75" customHeight="1" x14ac:dyDescent="0.15">
      <c r="I271" s="112">
        <f>IF(H271&gt;0,H271*(1+Main!$C$81)+Main!$C$78+Main!$C$79+Main!$C$80,0)</f>
        <v>0</v>
      </c>
    </row>
    <row r="272" spans="9:9" ht="12.75" customHeight="1" x14ac:dyDescent="0.15">
      <c r="I272" s="112">
        <f>IF(H272&gt;0,H272*(1+Main!$C$81)+Main!$C$78+Main!$C$79+Main!$C$80,0)</f>
        <v>0</v>
      </c>
    </row>
    <row r="273" spans="9:9" ht="12.75" customHeight="1" x14ac:dyDescent="0.15">
      <c r="I273" s="112">
        <f>IF(H273&gt;0,H273*(1+Main!$C$81)+Main!$C$78+Main!$C$79+Main!$C$80,0)</f>
        <v>0</v>
      </c>
    </row>
    <row r="274" spans="9:9" ht="12.75" customHeight="1" x14ac:dyDescent="0.15">
      <c r="I274" s="112">
        <f>IF(H274&gt;0,H274*(1+Main!$C$81)+Main!$C$78+Main!$C$79+Main!$C$80,0)</f>
        <v>0</v>
      </c>
    </row>
    <row r="275" spans="9:9" ht="12.75" customHeight="1" x14ac:dyDescent="0.15">
      <c r="I275" s="112">
        <f>IF(H275&gt;0,H275*(1+Main!$C$81)+Main!$C$78+Main!$C$79+Main!$C$80,0)</f>
        <v>0</v>
      </c>
    </row>
    <row r="276" spans="9:9" ht="12.75" customHeight="1" x14ac:dyDescent="0.15">
      <c r="I276" s="112">
        <f>IF(H276&gt;0,H276*(1+Main!$C$81)+Main!$C$78+Main!$C$79+Main!$C$80,0)</f>
        <v>0</v>
      </c>
    </row>
    <row r="277" spans="9:9" ht="12.75" customHeight="1" x14ac:dyDescent="0.15">
      <c r="I277" s="112">
        <f>IF(H277&gt;0,H277*(1+Main!$C$81)+Main!$C$78+Main!$C$79+Main!$C$80,0)</f>
        <v>0</v>
      </c>
    </row>
    <row r="278" spans="9:9" ht="12.75" customHeight="1" x14ac:dyDescent="0.15">
      <c r="I278" s="112">
        <f>IF(H278&gt;0,H278*(1+Main!$C$81)+Main!$C$78+Main!$C$79+Main!$C$80,0)</f>
        <v>0</v>
      </c>
    </row>
    <row r="279" spans="9:9" ht="12.75" customHeight="1" x14ac:dyDescent="0.15">
      <c r="I279" s="112">
        <f>IF(H279&gt;0,H279*(1+Main!$C$81)+Main!$C$78+Main!$C$79+Main!$C$80,0)</f>
        <v>0</v>
      </c>
    </row>
    <row r="280" spans="9:9" ht="12.75" customHeight="1" x14ac:dyDescent="0.15">
      <c r="I280" s="112">
        <f>IF(H280&gt;0,H280*(1+Main!$C$81)+Main!$C$78+Main!$C$79+Main!$C$80,0)</f>
        <v>0</v>
      </c>
    </row>
    <row r="281" spans="9:9" ht="12.75" customHeight="1" x14ac:dyDescent="0.15">
      <c r="I281" s="112">
        <f>IF(H281&gt;0,H281*(1+Main!$C$81)+Main!$C$78+Main!$C$79+Main!$C$80,0)</f>
        <v>0</v>
      </c>
    </row>
    <row r="282" spans="9:9" ht="12.75" customHeight="1" x14ac:dyDescent="0.15">
      <c r="I282" s="112">
        <f>IF(H282&gt;0,H282*(1+Main!$C$81)+Main!$C$78+Main!$C$79+Main!$C$80,0)</f>
        <v>0</v>
      </c>
    </row>
    <row r="283" spans="9:9" ht="12.75" customHeight="1" x14ac:dyDescent="0.15">
      <c r="I283" s="112">
        <f>IF(H283&gt;0,H283*(1+Main!$C$81)+Main!$C$78+Main!$C$79+Main!$C$80,0)</f>
        <v>0</v>
      </c>
    </row>
    <row r="284" spans="9:9" ht="12.75" customHeight="1" x14ac:dyDescent="0.15">
      <c r="I284" s="112">
        <f>IF(H284&gt;0,H284*(1+Main!$C$81)+Main!$C$78+Main!$C$79+Main!$C$80,0)</f>
        <v>0</v>
      </c>
    </row>
    <row r="285" spans="9:9" ht="12.75" customHeight="1" x14ac:dyDescent="0.15">
      <c r="I285" s="112">
        <f>IF(H285&gt;0,H285*(1+Main!$C$81)+Main!$C$78+Main!$C$79+Main!$C$80,0)</f>
        <v>0</v>
      </c>
    </row>
    <row r="286" spans="9:9" ht="12.75" customHeight="1" x14ac:dyDescent="0.15">
      <c r="I286" s="112">
        <f>IF(H286&gt;0,H286*(1+Main!$C$81)+Main!$C$78+Main!$C$79+Main!$C$80,0)</f>
        <v>0</v>
      </c>
    </row>
    <row r="287" spans="9:9" ht="12.75" customHeight="1" x14ac:dyDescent="0.15">
      <c r="I287" s="112">
        <f>IF(H287&gt;0,H287*(1+Main!$C$81)+Main!$C$78+Main!$C$79+Main!$C$80,0)</f>
        <v>0</v>
      </c>
    </row>
    <row r="288" spans="9:9" ht="12.75" customHeight="1" x14ac:dyDescent="0.15">
      <c r="I288" s="112">
        <f>IF(H288&gt;0,H288*(1+Main!$C$81)+Main!$C$78+Main!$C$79+Main!$C$80,0)</f>
        <v>0</v>
      </c>
    </row>
    <row r="289" spans="9:9" ht="12.75" customHeight="1" x14ac:dyDescent="0.15">
      <c r="I289" s="112">
        <f>IF(H289&gt;0,H289*(1+Main!$C$81)+Main!$C$78+Main!$C$79+Main!$C$80,0)</f>
        <v>0</v>
      </c>
    </row>
    <row r="290" spans="9:9" ht="12.75" customHeight="1" x14ac:dyDescent="0.15">
      <c r="I290" s="112">
        <f>IF(H290&gt;0,H290*(1+Main!$C$81)+Main!$C$78+Main!$C$79+Main!$C$80,0)</f>
        <v>0</v>
      </c>
    </row>
    <row r="291" spans="9:9" ht="12.75" customHeight="1" x14ac:dyDescent="0.15">
      <c r="I291" s="112">
        <f>IF(H291&gt;0,H291*(1+Main!$C$81)+Main!$C$78+Main!$C$79+Main!$C$80,0)</f>
        <v>0</v>
      </c>
    </row>
    <row r="292" spans="9:9" ht="12.75" customHeight="1" x14ac:dyDescent="0.15">
      <c r="I292" s="112">
        <f>IF(H292&gt;0,H292*(1+Main!$C$81)+Main!$C$78+Main!$C$79+Main!$C$80,0)</f>
        <v>0</v>
      </c>
    </row>
    <row r="293" spans="9:9" ht="12.75" customHeight="1" x14ac:dyDescent="0.15">
      <c r="I293" s="112">
        <f>IF(H293&gt;0,H293*(1+Main!$C$81)+Main!$C$78+Main!$C$79+Main!$C$80,0)</f>
        <v>0</v>
      </c>
    </row>
    <row r="294" spans="9:9" ht="12.75" customHeight="1" x14ac:dyDescent="0.15">
      <c r="I294" s="112">
        <f>IF(H294&gt;0,H294*(1+Main!$C$81)+Main!$C$78+Main!$C$79+Main!$C$80,0)</f>
        <v>0</v>
      </c>
    </row>
    <row r="295" spans="9:9" ht="12.75" customHeight="1" x14ac:dyDescent="0.15">
      <c r="I295" s="112">
        <f>IF(H295&gt;0,H295*(1+Main!$C$81)+Main!$C$78+Main!$C$79+Main!$C$80,0)</f>
        <v>0</v>
      </c>
    </row>
    <row r="296" spans="9:9" ht="12.75" customHeight="1" x14ac:dyDescent="0.15">
      <c r="I296" s="112">
        <f>IF(H296&gt;0,H296*(1+Main!$C$81)+Main!$C$78+Main!$C$79+Main!$C$80,0)</f>
        <v>0</v>
      </c>
    </row>
    <row r="297" spans="9:9" ht="12.75" customHeight="1" x14ac:dyDescent="0.15">
      <c r="I297" s="112">
        <f>IF(H297&gt;0,H297*(1+Main!$C$81)+Main!$C$78+Main!$C$79+Main!$C$80,0)</f>
        <v>0</v>
      </c>
    </row>
    <row r="298" spans="9:9" ht="12.75" customHeight="1" x14ac:dyDescent="0.15">
      <c r="I298" s="112">
        <f>IF(H298&gt;0,H298*(1+Main!$C$81)+Main!$C$78+Main!$C$79+Main!$C$80,0)</f>
        <v>0</v>
      </c>
    </row>
    <row r="299" spans="9:9" ht="12.75" customHeight="1" x14ac:dyDescent="0.15">
      <c r="I299" s="112">
        <f>IF(H299&gt;0,H299*(1+Main!$C$81)+Main!$C$78+Main!$C$79+Main!$C$80,0)</f>
        <v>0</v>
      </c>
    </row>
    <row r="300" spans="9:9" ht="12.75" customHeight="1" x14ac:dyDescent="0.15">
      <c r="I300" s="112">
        <f>IF(H300&gt;0,H300*(1+Main!$C$81)+Main!$C$78+Main!$C$79+Main!$C$80,0)</f>
        <v>0</v>
      </c>
    </row>
    <row r="301" spans="9:9" ht="12.75" customHeight="1" x14ac:dyDescent="0.15">
      <c r="I301" s="112">
        <f>IF(H301&gt;0,H301*(1+Main!$C$81)+Main!$C$78+Main!$C$79+Main!$C$80,0)</f>
        <v>0</v>
      </c>
    </row>
    <row r="302" spans="9:9" ht="12.75" customHeight="1" x14ac:dyDescent="0.15">
      <c r="I302" s="112">
        <f>IF(H302&gt;0,H302*(1+Main!$C$81)+Main!$C$78+Main!$C$79+Main!$C$80,0)</f>
        <v>0</v>
      </c>
    </row>
    <row r="303" spans="9:9" ht="12.75" customHeight="1" x14ac:dyDescent="0.15">
      <c r="I303" s="112">
        <f>IF(H303&gt;0,H303*(1+Main!$C$81)+Main!$C$78+Main!$C$79+Main!$C$80,0)</f>
        <v>0</v>
      </c>
    </row>
    <row r="304" spans="9:9" ht="12.75" customHeight="1" x14ac:dyDescent="0.15">
      <c r="I304" s="112">
        <f>IF(H304&gt;0,H304*(1+Main!$C$81)+Main!$C$78+Main!$C$79+Main!$C$80,0)</f>
        <v>0</v>
      </c>
    </row>
    <row r="305" spans="9:9" ht="12.75" customHeight="1" x14ac:dyDescent="0.15">
      <c r="I305" s="112">
        <f>IF(H305&gt;0,H305*(1+Main!$C$81)+Main!$C$78+Main!$C$79+Main!$C$80,0)</f>
        <v>0</v>
      </c>
    </row>
    <row r="306" spans="9:9" ht="12.75" customHeight="1" x14ac:dyDescent="0.15">
      <c r="I306" s="112">
        <f>IF(H306&gt;0,H306*(1+Main!$C$81)+Main!$C$78+Main!$C$79+Main!$C$80,0)</f>
        <v>0</v>
      </c>
    </row>
    <row r="307" spans="9:9" ht="12.75" customHeight="1" x14ac:dyDescent="0.15">
      <c r="I307" s="112">
        <f>IF(H307&gt;0,H307*(1+Main!$C$81)+Main!$C$78+Main!$C$79+Main!$C$80,0)</f>
        <v>0</v>
      </c>
    </row>
    <row r="308" spans="9:9" ht="12.75" customHeight="1" x14ac:dyDescent="0.15">
      <c r="I308" s="112">
        <f>IF(H308&gt;0,H308*(1+Main!$C$81)+Main!$C$78+Main!$C$79+Main!$C$80,0)</f>
        <v>0</v>
      </c>
    </row>
    <row r="309" spans="9:9" ht="12.75" customHeight="1" x14ac:dyDescent="0.15">
      <c r="I309" s="112">
        <f>IF(H309&gt;0,H309*(1+Main!$C$81)+Main!$C$78+Main!$C$79+Main!$C$80,0)</f>
        <v>0</v>
      </c>
    </row>
    <row r="310" spans="9:9" ht="12.75" customHeight="1" x14ac:dyDescent="0.15">
      <c r="I310" s="112">
        <f>IF(H310&gt;0,H310*(1+Main!$C$81)+Main!$C$78+Main!$C$79+Main!$C$80,0)</f>
        <v>0</v>
      </c>
    </row>
    <row r="311" spans="9:9" ht="12.75" customHeight="1" x14ac:dyDescent="0.15">
      <c r="I311" s="112">
        <f>IF(H311&gt;0,H311*(1+Main!$C$81)+Main!$C$78+Main!$C$79+Main!$C$80,0)</f>
        <v>0</v>
      </c>
    </row>
    <row r="312" spans="9:9" ht="12.75" customHeight="1" x14ac:dyDescent="0.15">
      <c r="I312" s="112">
        <f>IF(H312&gt;0,H312*(1+Main!$C$81)+Main!$C$78+Main!$C$79+Main!$C$80,0)</f>
        <v>0</v>
      </c>
    </row>
    <row r="313" spans="9:9" ht="12.75" customHeight="1" x14ac:dyDescent="0.15">
      <c r="I313" s="112">
        <f>IF(H313&gt;0,H313*(1+Main!$C$81)+Main!$C$78+Main!$C$79+Main!$C$80,0)</f>
        <v>0</v>
      </c>
    </row>
    <row r="314" spans="9:9" ht="12.75" customHeight="1" x14ac:dyDescent="0.15">
      <c r="I314" s="112">
        <f>IF(H314&gt;0,H314*(1+Main!$C$81)+Main!$C$78+Main!$C$79+Main!$C$80,0)</f>
        <v>0</v>
      </c>
    </row>
    <row r="315" spans="9:9" ht="12.75" customHeight="1" x14ac:dyDescent="0.15">
      <c r="I315" s="112">
        <f>IF(H315&gt;0,H315*(1+Main!$C$81)+Main!$C$78+Main!$C$79+Main!$C$80,0)</f>
        <v>0</v>
      </c>
    </row>
    <row r="316" spans="9:9" ht="12.75" customHeight="1" x14ac:dyDescent="0.15">
      <c r="I316" s="112">
        <f>IF(H316&gt;0,H316*(1+Main!$C$81)+Main!$C$78+Main!$C$79+Main!$C$80,0)</f>
        <v>0</v>
      </c>
    </row>
    <row r="317" spans="9:9" ht="12.75" customHeight="1" x14ac:dyDescent="0.15">
      <c r="I317" s="112">
        <f>IF(H317&gt;0,H317*(1+Main!$C$81)+Main!$C$78+Main!$C$79+Main!$C$80,0)</f>
        <v>0</v>
      </c>
    </row>
    <row r="318" spans="9:9" ht="12.75" customHeight="1" x14ac:dyDescent="0.15">
      <c r="I318" s="112">
        <f>IF(H318&gt;0,H318*(1+Main!$C$81)+Main!$C$78+Main!$C$79+Main!$C$80,0)</f>
        <v>0</v>
      </c>
    </row>
    <row r="319" spans="9:9" ht="12.75" customHeight="1" x14ac:dyDescent="0.15">
      <c r="I319" s="112">
        <f>IF(H319&gt;0,H319*(1+Main!$C$81)+Main!$C$78+Main!$C$79+Main!$C$80,0)</f>
        <v>0</v>
      </c>
    </row>
    <row r="320" spans="9:9" ht="12.75" customHeight="1" x14ac:dyDescent="0.15">
      <c r="I320" s="112">
        <f>IF(H320&gt;0,H320*(1+Main!$C$81)+Main!$C$78+Main!$C$79+Main!$C$80,0)</f>
        <v>0</v>
      </c>
    </row>
    <row r="321" spans="9:9" ht="12.75" customHeight="1" x14ac:dyDescent="0.15">
      <c r="I321" s="112">
        <f>IF(H321&gt;0,H321*(1+Main!$C$81)+Main!$C$78+Main!$C$79+Main!$C$80,0)</f>
        <v>0</v>
      </c>
    </row>
    <row r="322" spans="9:9" ht="12.75" customHeight="1" x14ac:dyDescent="0.15">
      <c r="I322" s="112">
        <f>IF(H322&gt;0,H322*(1+Main!$C$81)+Main!$C$78+Main!$C$79+Main!$C$80,0)</f>
        <v>0</v>
      </c>
    </row>
    <row r="323" spans="9:9" ht="12.75" customHeight="1" x14ac:dyDescent="0.15">
      <c r="I323" s="112">
        <f>IF(H323&gt;0,H323*(1+Main!$C$81)+Main!$C$78+Main!$C$79+Main!$C$80,0)</f>
        <v>0</v>
      </c>
    </row>
    <row r="324" spans="9:9" ht="12.75" customHeight="1" x14ac:dyDescent="0.15">
      <c r="I324" s="112">
        <f>IF(H324&gt;0,H324*(1+Main!$C$81)+Main!$C$78+Main!$C$79+Main!$C$80,0)</f>
        <v>0</v>
      </c>
    </row>
    <row r="325" spans="9:9" ht="12.75" customHeight="1" x14ac:dyDescent="0.15">
      <c r="I325" s="112">
        <f>IF(H325&gt;0,H325*(1+Main!$C$81)+Main!$C$78+Main!$C$79+Main!$C$80,0)</f>
        <v>0</v>
      </c>
    </row>
    <row r="326" spans="9:9" ht="12.75" customHeight="1" x14ac:dyDescent="0.15">
      <c r="I326" s="112">
        <f>IF(H326&gt;0,H326*(1+Main!$C$81)+Main!$C$78+Main!$C$79+Main!$C$80,0)</f>
        <v>0</v>
      </c>
    </row>
    <row r="327" spans="9:9" ht="12.75" customHeight="1" x14ac:dyDescent="0.15">
      <c r="I327" s="112">
        <f>IF(H327&gt;0,H327*(1+Main!$C$81)+Main!$C$78+Main!$C$79+Main!$C$80,0)</f>
        <v>0</v>
      </c>
    </row>
    <row r="328" spans="9:9" ht="12.75" customHeight="1" x14ac:dyDescent="0.15">
      <c r="I328" s="112">
        <f>IF(H328&gt;0,H328*(1+Main!$C$81)+Main!$C$78+Main!$C$79+Main!$C$80,0)</f>
        <v>0</v>
      </c>
    </row>
    <row r="329" spans="9:9" ht="12.75" customHeight="1" x14ac:dyDescent="0.15">
      <c r="I329" s="112">
        <f>IF(H329&gt;0,H329*(1+Main!$C$81)+Main!$C$78+Main!$C$79+Main!$C$80,0)</f>
        <v>0</v>
      </c>
    </row>
    <row r="330" spans="9:9" ht="12.75" customHeight="1" x14ac:dyDescent="0.15">
      <c r="I330" s="112">
        <f>IF(H330&gt;0,H330*(1+Main!$C$81)+Main!$C$78+Main!$C$79+Main!$C$80,0)</f>
        <v>0</v>
      </c>
    </row>
    <row r="331" spans="9:9" ht="12.75" customHeight="1" x14ac:dyDescent="0.15">
      <c r="I331" s="112">
        <f>IF(H331&gt;0,H331*(1+Main!$C$81)+Main!$C$78+Main!$C$79+Main!$C$80,0)</f>
        <v>0</v>
      </c>
    </row>
    <row r="332" spans="9:9" ht="12.75" customHeight="1" x14ac:dyDescent="0.15">
      <c r="I332" s="112">
        <f>IF(H332&gt;0,H332*(1+Main!$C$81)+Main!$C$78+Main!$C$79+Main!$C$80,0)</f>
        <v>0</v>
      </c>
    </row>
    <row r="333" spans="9:9" ht="12.75" customHeight="1" x14ac:dyDescent="0.15">
      <c r="I333" s="112">
        <f>IF(H333&gt;0,H333*(1+Main!$C$81)+Main!$C$78+Main!$C$79+Main!$C$80,0)</f>
        <v>0</v>
      </c>
    </row>
    <row r="334" spans="9:9" ht="12.75" customHeight="1" x14ac:dyDescent="0.15">
      <c r="I334" s="112">
        <f>IF(H334&gt;0,H334*(1+Main!$C$81)+Main!$C$78+Main!$C$79+Main!$C$80,0)</f>
        <v>0</v>
      </c>
    </row>
    <row r="335" spans="9:9" ht="12.75" customHeight="1" x14ac:dyDescent="0.15">
      <c r="I335" s="112">
        <f>IF(H335&gt;0,H335*(1+Main!$C$81)+Main!$C$78+Main!$C$79+Main!$C$80,0)</f>
        <v>0</v>
      </c>
    </row>
    <row r="336" spans="9:9" ht="12.75" customHeight="1" x14ac:dyDescent="0.15">
      <c r="I336" s="112">
        <f>IF(H336&gt;0,H336*(1+Main!$C$81)+Main!$C$78+Main!$C$79+Main!$C$80,0)</f>
        <v>0</v>
      </c>
    </row>
    <row r="337" spans="9:9" ht="12.75" customHeight="1" x14ac:dyDescent="0.15">
      <c r="I337" s="112">
        <f>IF(H337&gt;0,H337*(1+Main!$C$81)+Main!$C$78+Main!$C$79+Main!$C$80,0)</f>
        <v>0</v>
      </c>
    </row>
    <row r="338" spans="9:9" ht="12.75" customHeight="1" x14ac:dyDescent="0.15">
      <c r="I338" s="112">
        <f>IF(H338&gt;0,H338*(1+Main!$C$81)+Main!$C$78+Main!$C$79+Main!$C$80,0)</f>
        <v>0</v>
      </c>
    </row>
    <row r="339" spans="9:9" ht="12.75" customHeight="1" x14ac:dyDescent="0.15">
      <c r="I339" s="112">
        <f>IF(H339&gt;0,H339*(1+Main!$C$81)+Main!$C$78+Main!$C$79+Main!$C$80,0)</f>
        <v>0</v>
      </c>
    </row>
    <row r="340" spans="9:9" ht="12.75" customHeight="1" x14ac:dyDescent="0.15">
      <c r="I340" s="112">
        <f>IF(H340&gt;0,H340*(1+Main!$C$81)+Main!$C$78+Main!$C$79+Main!$C$80,0)</f>
        <v>0</v>
      </c>
    </row>
    <row r="341" spans="9:9" ht="12.75" customHeight="1" x14ac:dyDescent="0.15">
      <c r="I341" s="112">
        <f>IF(H341&gt;0,H341*(1+Main!$C$81)+Main!$C$78+Main!$C$79+Main!$C$80,0)</f>
        <v>0</v>
      </c>
    </row>
    <row r="342" spans="9:9" ht="12.75" customHeight="1" x14ac:dyDescent="0.15">
      <c r="I342" s="112">
        <f>IF(H342&gt;0,H342*(1+Main!$C$81)+Main!$C$78+Main!$C$79+Main!$C$80,0)</f>
        <v>0</v>
      </c>
    </row>
    <row r="343" spans="9:9" ht="12.75" customHeight="1" x14ac:dyDescent="0.15">
      <c r="I343" s="112">
        <f>IF(H343&gt;0,H343*(1+Main!$C$81)+Main!$C$78+Main!$C$79+Main!$C$80,0)</f>
        <v>0</v>
      </c>
    </row>
    <row r="344" spans="9:9" ht="12.75" customHeight="1" x14ac:dyDescent="0.15">
      <c r="I344" s="112">
        <f>IF(H344&gt;0,H344*(1+Main!$C$81)+Main!$C$78+Main!$C$79+Main!$C$80,0)</f>
        <v>0</v>
      </c>
    </row>
    <row r="345" spans="9:9" ht="12.75" customHeight="1" x14ac:dyDescent="0.15">
      <c r="I345" s="112">
        <f>IF(H345&gt;0,H345*(1+Main!$C$81)+Main!$C$78+Main!$C$79+Main!$C$80,0)</f>
        <v>0</v>
      </c>
    </row>
    <row r="346" spans="9:9" ht="12.75" customHeight="1" x14ac:dyDescent="0.15">
      <c r="I346" s="112">
        <f>IF(H346&gt;0,H346*(1+Main!$C$81)+Main!$C$78+Main!$C$79+Main!$C$80,0)</f>
        <v>0</v>
      </c>
    </row>
    <row r="347" spans="9:9" ht="12.75" customHeight="1" x14ac:dyDescent="0.15">
      <c r="I347" s="112">
        <f>IF(H347&gt;0,H347*(1+Main!$C$81)+Main!$C$78+Main!$C$79+Main!$C$80,0)</f>
        <v>0</v>
      </c>
    </row>
    <row r="348" spans="9:9" ht="12.75" customHeight="1" x14ac:dyDescent="0.15">
      <c r="I348" s="112">
        <f>IF(H348&gt;0,H348*(1+Main!$C$81)+Main!$C$78+Main!$C$79+Main!$C$80,0)</f>
        <v>0</v>
      </c>
    </row>
    <row r="349" spans="9:9" ht="12.75" customHeight="1" x14ac:dyDescent="0.15">
      <c r="I349" s="112">
        <f>IF(H349&gt;0,H349*(1+Main!$C$81)+Main!$C$78+Main!$C$79+Main!$C$80,0)</f>
        <v>0</v>
      </c>
    </row>
    <row r="350" spans="9:9" ht="12.75" customHeight="1" x14ac:dyDescent="0.15">
      <c r="I350" s="112">
        <f>IF(H350&gt;0,H350*(1+Main!$C$81)+Main!$C$78+Main!$C$79+Main!$C$80,0)</f>
        <v>0</v>
      </c>
    </row>
    <row r="351" spans="9:9" ht="12.75" customHeight="1" x14ac:dyDescent="0.15">
      <c r="I351" s="112">
        <f>IF(H351&gt;0,H351*(1+Main!$C$81)+Main!$C$78+Main!$C$79+Main!$C$80,0)</f>
        <v>0</v>
      </c>
    </row>
    <row r="352" spans="9:9" ht="12.75" customHeight="1" x14ac:dyDescent="0.15">
      <c r="I352" s="112">
        <f>IF(H352&gt;0,H352*(1+Main!$C$81)+Main!$C$78+Main!$C$79+Main!$C$80,0)</f>
        <v>0</v>
      </c>
    </row>
    <row r="353" spans="9:9" ht="12.75" customHeight="1" x14ac:dyDescent="0.15">
      <c r="I353" s="112">
        <f>IF(H353&gt;0,H353*(1+Main!$C$81)+Main!$C$78+Main!$C$79+Main!$C$80,0)</f>
        <v>0</v>
      </c>
    </row>
    <row r="354" spans="9:9" ht="12.75" customHeight="1" x14ac:dyDescent="0.15">
      <c r="I354" s="112">
        <f>IF(H354&gt;0,H354*(1+Main!$C$81)+Main!$C$78+Main!$C$79+Main!$C$80,0)</f>
        <v>0</v>
      </c>
    </row>
    <row r="355" spans="9:9" ht="12.75" customHeight="1" x14ac:dyDescent="0.15">
      <c r="I355" s="112">
        <f>IF(H355&gt;0,H355*(1+Main!$C$81)+Main!$C$78+Main!$C$79+Main!$C$80,0)</f>
        <v>0</v>
      </c>
    </row>
    <row r="356" spans="9:9" ht="12.75" customHeight="1" x14ac:dyDescent="0.15">
      <c r="I356" s="112">
        <f>IF(H356&gt;0,H356*(1+Main!$C$81)+Main!$C$78+Main!$C$79+Main!$C$80,0)</f>
        <v>0</v>
      </c>
    </row>
    <row r="357" spans="9:9" ht="12.75" customHeight="1" x14ac:dyDescent="0.15">
      <c r="I357" s="112">
        <f>IF(H357&gt;0,H357*(1+Main!$C$81)+Main!$C$78+Main!$C$79+Main!$C$80,0)</f>
        <v>0</v>
      </c>
    </row>
    <row r="358" spans="9:9" ht="12.75" customHeight="1" x14ac:dyDescent="0.15">
      <c r="I358" s="112">
        <f>IF(H358&gt;0,H358*(1+Main!$C$81)+Main!$C$78+Main!$C$79+Main!$C$80,0)</f>
        <v>0</v>
      </c>
    </row>
    <row r="359" spans="9:9" ht="12.75" customHeight="1" x14ac:dyDescent="0.15">
      <c r="I359" s="112">
        <f>IF(H359&gt;0,H359*(1+Main!$C$81)+Main!$C$78+Main!$C$79+Main!$C$80,0)</f>
        <v>0</v>
      </c>
    </row>
    <row r="360" spans="9:9" ht="12.75" customHeight="1" x14ac:dyDescent="0.15">
      <c r="I360" s="112">
        <f>IF(H360&gt;0,H360*(1+Main!$C$81)+Main!$C$78+Main!$C$79+Main!$C$80,0)</f>
        <v>0</v>
      </c>
    </row>
    <row r="361" spans="9:9" ht="12.75" customHeight="1" x14ac:dyDescent="0.15">
      <c r="I361" s="112">
        <f>IF(H361&gt;0,H361*(1+Main!$C$81)+Main!$C$78+Main!$C$79+Main!$C$80,0)</f>
        <v>0</v>
      </c>
    </row>
    <row r="362" spans="9:9" ht="12.75" customHeight="1" x14ac:dyDescent="0.15">
      <c r="I362" s="112">
        <f>IF(H362&gt;0,H362*(1+Main!$C$81)+Main!$C$78+Main!$C$79+Main!$C$80,0)</f>
        <v>0</v>
      </c>
    </row>
    <row r="363" spans="9:9" ht="12.75" customHeight="1" x14ac:dyDescent="0.15">
      <c r="I363" s="112">
        <f>IF(H363&gt;0,H363*(1+Main!$C$81)+Main!$C$78+Main!$C$79+Main!$C$80,0)</f>
        <v>0</v>
      </c>
    </row>
    <row r="364" spans="9:9" ht="12.75" customHeight="1" x14ac:dyDescent="0.15">
      <c r="I364" s="112">
        <f>IF(H364&gt;0,H364*(1+Main!$C$81)+Main!$C$78+Main!$C$79+Main!$C$80,0)</f>
        <v>0</v>
      </c>
    </row>
    <row r="365" spans="9:9" ht="12.75" customHeight="1" x14ac:dyDescent="0.15">
      <c r="I365" s="112">
        <f>IF(H365&gt;0,H365*(1+Main!$C$81)+Main!$C$78+Main!$C$79+Main!$C$80,0)</f>
        <v>0</v>
      </c>
    </row>
    <row r="366" spans="9:9" ht="12.75" customHeight="1" x14ac:dyDescent="0.15">
      <c r="I366" s="112">
        <f>IF(H366&gt;0,H366*(1+Main!$C$81)+Main!$C$78+Main!$C$79+Main!$C$80,0)</f>
        <v>0</v>
      </c>
    </row>
    <row r="367" spans="9:9" ht="12.75" customHeight="1" x14ac:dyDescent="0.15">
      <c r="I367" s="112">
        <f>IF(H367&gt;0,H367*(1+Main!$C$81)+Main!$C$78+Main!$C$79+Main!$C$80,0)</f>
        <v>0</v>
      </c>
    </row>
    <row r="368" spans="9:9" ht="12.75" customHeight="1" x14ac:dyDescent="0.15">
      <c r="I368" s="112">
        <f>IF(H368&gt;0,H368*(1+Main!$C$81)+Main!$C$78+Main!$C$79+Main!$C$80,0)</f>
        <v>0</v>
      </c>
    </row>
    <row r="369" spans="9:9" ht="12.75" customHeight="1" x14ac:dyDescent="0.15">
      <c r="I369" s="112">
        <f>IF(H369&gt;0,H369*(1+Main!$C$81)+Main!$C$78+Main!$C$79+Main!$C$80,0)</f>
        <v>0</v>
      </c>
    </row>
    <row r="370" spans="9:9" ht="12.75" customHeight="1" x14ac:dyDescent="0.15">
      <c r="I370" s="112">
        <f>IF(H370&gt;0,H370*(1+Main!$C$81)+Main!$C$78+Main!$C$79+Main!$C$80,0)</f>
        <v>0</v>
      </c>
    </row>
    <row r="371" spans="9:9" ht="12.75" customHeight="1" x14ac:dyDescent="0.15">
      <c r="I371" s="112">
        <f>IF(H371&gt;0,H371*(1+Main!$C$81)+Main!$C$78+Main!$C$79+Main!$C$80,0)</f>
        <v>0</v>
      </c>
    </row>
    <row r="372" spans="9:9" ht="12.75" customHeight="1" x14ac:dyDescent="0.15">
      <c r="I372" s="112">
        <f>IF(H372&gt;0,H372*(1+Main!$C$81)+Main!$C$78+Main!$C$79+Main!$C$80,0)</f>
        <v>0</v>
      </c>
    </row>
    <row r="373" spans="9:9" ht="12.75" customHeight="1" x14ac:dyDescent="0.15">
      <c r="I373" s="112">
        <f>IF(H373&gt;0,H373*(1+Main!$C$81)+Main!$C$78+Main!$C$79+Main!$C$80,0)</f>
        <v>0</v>
      </c>
    </row>
    <row r="374" spans="9:9" ht="12.75" customHeight="1" x14ac:dyDescent="0.15">
      <c r="I374" s="112">
        <f>IF(H374&gt;0,H374*(1+Main!$C$81)+Main!$C$78+Main!$C$79+Main!$C$80,0)</f>
        <v>0</v>
      </c>
    </row>
    <row r="375" spans="9:9" ht="12.75" customHeight="1" x14ac:dyDescent="0.15">
      <c r="I375" s="112">
        <f>IF(H375&gt;0,H375*(1+Main!$C$81)+Main!$C$78+Main!$C$79+Main!$C$80,0)</f>
        <v>0</v>
      </c>
    </row>
    <row r="376" spans="9:9" ht="12.75" customHeight="1" x14ac:dyDescent="0.15">
      <c r="I376" s="112">
        <f>IF(H376&gt;0,H376*(1+Main!$C$81)+Main!$C$78+Main!$C$79+Main!$C$80,0)</f>
        <v>0</v>
      </c>
    </row>
    <row r="377" spans="9:9" ht="12.75" customHeight="1" x14ac:dyDescent="0.15">
      <c r="I377" s="112">
        <f>IF(H377&gt;0,H377*(1+Main!$C$81)+Main!$C$78+Main!$C$79+Main!$C$80,0)</f>
        <v>0</v>
      </c>
    </row>
    <row r="378" spans="9:9" ht="12.75" customHeight="1" x14ac:dyDescent="0.15">
      <c r="I378" s="112">
        <f>IF(H378&gt;0,H378*(1+Main!$C$81)+Main!$C$78+Main!$C$79+Main!$C$80,0)</f>
        <v>0</v>
      </c>
    </row>
    <row r="379" spans="9:9" ht="12.75" customHeight="1" x14ac:dyDescent="0.15">
      <c r="I379" s="112">
        <f>IF(H379&gt;0,H379*(1+Main!$C$81)+Main!$C$78+Main!$C$79+Main!$C$80,0)</f>
        <v>0</v>
      </c>
    </row>
    <row r="380" spans="9:9" ht="12.75" customHeight="1" x14ac:dyDescent="0.15">
      <c r="I380" s="112">
        <f>IF(H380&gt;0,H380*(1+Main!$C$81)+Main!$C$78+Main!$C$79+Main!$C$80,0)</f>
        <v>0</v>
      </c>
    </row>
    <row r="381" spans="9:9" ht="12.75" customHeight="1" x14ac:dyDescent="0.15">
      <c r="I381" s="112">
        <f>IF(H381&gt;0,H381*(1+Main!$C$81)+Main!$C$78+Main!$C$79+Main!$C$80,0)</f>
        <v>0</v>
      </c>
    </row>
    <row r="382" spans="9:9" ht="12.75" customHeight="1" x14ac:dyDescent="0.15">
      <c r="I382" s="112">
        <f>IF(H382&gt;0,H382*(1+Main!$C$81)+Main!$C$78+Main!$C$79+Main!$C$80,0)</f>
        <v>0</v>
      </c>
    </row>
    <row r="383" spans="9:9" ht="12.75" customHeight="1" x14ac:dyDescent="0.15">
      <c r="I383" s="112">
        <f>IF(H383&gt;0,H383*(1+Main!$C$81)+Main!$C$78+Main!$C$79+Main!$C$80,0)</f>
        <v>0</v>
      </c>
    </row>
    <row r="384" spans="9:9" ht="12.75" customHeight="1" x14ac:dyDescent="0.15">
      <c r="I384" s="112">
        <f>IF(H384&gt;0,H384*(1+Main!$C$81)+Main!$C$78+Main!$C$79+Main!$C$80,0)</f>
        <v>0</v>
      </c>
    </row>
    <row r="385" spans="9:9" ht="12.75" customHeight="1" x14ac:dyDescent="0.15">
      <c r="I385" s="112">
        <f>IF(H385&gt;0,H385*(1+Main!$C$81)+Main!$C$78+Main!$C$79+Main!$C$80,0)</f>
        <v>0</v>
      </c>
    </row>
    <row r="386" spans="9:9" ht="12.75" customHeight="1" x14ac:dyDescent="0.15">
      <c r="I386" s="112">
        <f>IF(H386&gt;0,H386*(1+Main!$C$81)+Main!$C$78+Main!$C$79+Main!$C$80,0)</f>
        <v>0</v>
      </c>
    </row>
    <row r="387" spans="9:9" ht="12.75" customHeight="1" x14ac:dyDescent="0.15">
      <c r="I387" s="112">
        <f>IF(H387&gt;0,H387*(1+Main!$C$81)+Main!$C$78+Main!$C$79+Main!$C$80,0)</f>
        <v>0</v>
      </c>
    </row>
    <row r="388" spans="9:9" ht="12.75" customHeight="1" x14ac:dyDescent="0.15">
      <c r="I388" s="112">
        <f>IF(H388&gt;0,H388*(1+Main!$C$81)+Main!$C$78+Main!$C$79+Main!$C$80,0)</f>
        <v>0</v>
      </c>
    </row>
    <row r="389" spans="9:9" ht="12.75" customHeight="1" x14ac:dyDescent="0.15">
      <c r="I389" s="112">
        <f>IF(H389&gt;0,H389*(1+Main!$C$81)+Main!$C$78+Main!$C$79+Main!$C$80,0)</f>
        <v>0</v>
      </c>
    </row>
    <row r="390" spans="9:9" ht="12.75" customHeight="1" x14ac:dyDescent="0.15">
      <c r="I390" s="112">
        <f>IF(H390&gt;0,H390*(1+Main!$C$81)+Main!$C$78+Main!$C$79+Main!$C$80,0)</f>
        <v>0</v>
      </c>
    </row>
    <row r="391" spans="9:9" ht="12.75" customHeight="1" x14ac:dyDescent="0.15">
      <c r="I391" s="112">
        <f>IF(H391&gt;0,H391*(1+Main!$C$81)+Main!$C$78+Main!$C$79+Main!$C$80,0)</f>
        <v>0</v>
      </c>
    </row>
    <row r="392" spans="9:9" ht="12.75" customHeight="1" x14ac:dyDescent="0.15">
      <c r="I392" s="112">
        <f>IF(H392&gt;0,H392*(1+Main!$C$81)+Main!$C$78+Main!$C$79+Main!$C$80,0)</f>
        <v>0</v>
      </c>
    </row>
    <row r="393" spans="9:9" ht="12.75" customHeight="1" x14ac:dyDescent="0.15">
      <c r="I393" s="112">
        <f>IF(H393&gt;0,H393*(1+Main!$C$81)+Main!$C$78+Main!$C$79+Main!$C$80,0)</f>
        <v>0</v>
      </c>
    </row>
  </sheetData>
  <autoFilter ref="A1:I5" xr:uid="{00000000-0009-0000-0000-000008000000}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Main</vt:lpstr>
      <vt:lpstr>Summary</vt:lpstr>
      <vt:lpstr>IS</vt:lpstr>
      <vt:lpstr>BS</vt:lpstr>
      <vt:lpstr>CF</vt:lpstr>
      <vt:lpstr>Sales</vt:lpstr>
      <vt:lpstr>Staff Expense</vt:lpstr>
      <vt:lpstr>Corp Employees</vt:lpstr>
      <vt:lpstr>BS</vt:lpstr>
      <vt:lpstr>IS</vt:lpstr>
      <vt:lpstr>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Kapur</dc:creator>
  <cp:lastModifiedBy>Microsoft Office User</cp:lastModifiedBy>
  <cp:lastPrinted>2013-06-06T21:51:56Z</cp:lastPrinted>
  <dcterms:created xsi:type="dcterms:W3CDTF">2012-01-07T22:37:41Z</dcterms:created>
  <dcterms:modified xsi:type="dcterms:W3CDTF">2019-03-08T04:17:36Z</dcterms:modified>
</cp:coreProperties>
</file>